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ivotTables/pivotTable1.xml" ContentType="application/vnd.openxmlformats-officedocument.spreadsheetml.pivotTable+xml"/>
  <Override PartName="/xl/worksheets/sheet3.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externalLinks/externalLink15.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pivotCache/pivotCacheRecords1.xml" ContentType="application/vnd.openxmlformats-officedocument.spreadsheetml.pivotCacheRecords+xml"/>
  <Override PartName="/xl/comments4.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4.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C:\Users\norela.briceno\Documents\Plan de acción\Plan Accion 2018\"/>
    </mc:Choice>
  </mc:AlternateContent>
  <bookViews>
    <workbookView xWindow="0" yWindow="0" windowWidth="20490" windowHeight="7530" firstSheet="2" activeTab="2"/>
  </bookViews>
  <sheets>
    <sheet name="Plan de Accion Final" sheetId="14" state="hidden" r:id="rId1"/>
    <sheet name="Hoja2" sheetId="8" state="hidden" r:id="rId2"/>
    <sheet name="Plan de Accion 2018" sheetId="3" r:id="rId3"/>
    <sheet name="Cuadro Mando Integral Seguimien" sheetId="24" r:id="rId4"/>
    <sheet name="Cuadro Mando Integral Detallado" sheetId="15" r:id="rId5"/>
    <sheet name="Cumplimiento perspectivas conso" sheetId="17" r:id="rId6"/>
    <sheet name="Cumplimiento de objetivos" sheetId="16" r:id="rId7"/>
    <sheet name="Cumplimi actividades relevantes" sheetId="23" state="hidden" r:id="rId8"/>
    <sheet name="Cumplimiento Dependencias" sheetId="18" r:id="rId9"/>
    <sheet name="Control de Cambios" sheetId="25" r:id="rId10"/>
    <sheet name="Actividades relevantes Detalle" sheetId="22" state="hidden" r:id="rId11"/>
    <sheet name="PLAN DE ADQUISIONES COMPILADO" sheetId="13" state="hidden" r:id="rId12"/>
    <sheet name="TAB. REF. PA" sheetId="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0" hidden="1">'Actividades relevantes Detalle'!$A$7:$BR$150</definedName>
    <definedName name="_xlnm._FilterDatabase" localSheetId="4" hidden="1">'Cuadro Mando Integral Detallado'!$B$14:$CA$217</definedName>
    <definedName name="_xlnm._FilterDatabase" localSheetId="2" hidden="1">'Plan de Accion 2018'!$A$7:$BT$161</definedName>
    <definedName name="_xlnm._FilterDatabase" localSheetId="0" hidden="1">'Plan de Accion Final'!$A$8:$BQ$152</definedName>
    <definedName name="Central_de_Costos">'TAB. REF. PA'!$A$4:$A$14</definedName>
    <definedName name="CÓDIGO_AREA" localSheetId="12">'TAB. REF. PA'!$A$4:$A$14</definedName>
    <definedName name="Dimensión_MIPG">'TAB. REF. PA'!$F$2</definedName>
    <definedName name="Estrategia_Sectorial">'TAB. REF. PA'!$L$2</definedName>
    <definedName name="Fuente_de_Recursos">'TAB. REF. PA'!$W$2</definedName>
    <definedName name="Indicador">'TAB. REF. PA'!$S$2</definedName>
    <definedName name="Indicador_SINERGIA">'TAB. REF. PA'!$U$2</definedName>
    <definedName name="Objetivo_Especifico_PND">'TAB. REF. PA'!$J$2</definedName>
    <definedName name="OBJETIVO_ESTRATEGICO">'TAB. REF. PA'!$D$2</definedName>
    <definedName name="Política_MIPG">'TAB. REF. PA'!$H$2</definedName>
    <definedName name="Procedimiento">'TAB. REF. PA'!$P$2</definedName>
    <definedName name="Proceso">'TAB. REF. PA'!$N$2</definedName>
  </definedNames>
  <calcPr calcId="171027"/>
  <pivotCaches>
    <pivotCache cacheId="0" r:id="rId2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06" i="15" l="1"/>
  <c r="P206" i="15"/>
  <c r="L206" i="15"/>
  <c r="AO11" i="3"/>
  <c r="AM11" i="3"/>
  <c r="AY11" i="3"/>
  <c r="AW11" i="3"/>
  <c r="BI11" i="3"/>
  <c r="BG11" i="3"/>
  <c r="BI10" i="3"/>
  <c r="BG10" i="3"/>
  <c r="AY10" i="3"/>
  <c r="AW10" i="3"/>
  <c r="AO10" i="3"/>
  <c r="N113" i="15" s="1"/>
  <c r="AM10" i="3"/>
  <c r="AB52" i="3" l="1"/>
  <c r="AB48" i="3"/>
  <c r="AB125" i="3"/>
  <c r="K94" i="3" l="1"/>
  <c r="K68" i="3"/>
  <c r="BS89" i="3" l="1"/>
  <c r="BR89" i="3"/>
  <c r="BQ89" i="3"/>
  <c r="BP89" i="3"/>
  <c r="BO89" i="3"/>
  <c r="BN89" i="3"/>
  <c r="BM89" i="3"/>
  <c r="BL89" i="3"/>
  <c r="D62" i="15" l="1"/>
  <c r="AC131" i="3" l="1"/>
  <c r="H206" i="15"/>
  <c r="F206" i="15"/>
  <c r="D206" i="15"/>
  <c r="D87" i="15"/>
  <c r="AB126" i="3"/>
  <c r="K151" i="3"/>
  <c r="V151" i="3" s="1"/>
  <c r="D100" i="15" l="1"/>
  <c r="D26" i="15"/>
  <c r="T77" i="15"/>
  <c r="T76" i="15"/>
  <c r="P77" i="15"/>
  <c r="P76" i="15"/>
  <c r="M77" i="15"/>
  <c r="L77" i="15"/>
  <c r="M76" i="15"/>
  <c r="L76" i="15"/>
  <c r="E101" i="15"/>
  <c r="E94" i="15"/>
  <c r="D97" i="15" l="1"/>
  <c r="AA99" i="3"/>
  <c r="K156" i="3" l="1"/>
  <c r="BT156" i="3" l="1"/>
  <c r="BS156" i="3"/>
  <c r="U100" i="15" s="1"/>
  <c r="BR156" i="3"/>
  <c r="BQ156" i="3"/>
  <c r="Q100" i="15" s="1"/>
  <c r="BP156" i="3"/>
  <c r="BN156" i="3"/>
  <c r="BH156" i="3"/>
  <c r="T100" i="15" s="1"/>
  <c r="BG156" i="3"/>
  <c r="AX156" i="3"/>
  <c r="P100" i="15" s="1"/>
  <c r="AW156" i="3"/>
  <c r="AM156" i="3"/>
  <c r="V156" i="3"/>
  <c r="U156" i="3"/>
  <c r="AI156" i="3" s="1"/>
  <c r="AZ156" i="3" l="1"/>
  <c r="R100" i="15" s="1"/>
  <c r="Z156" i="3"/>
  <c r="AF156" i="3"/>
  <c r="J100" i="15" s="1"/>
  <c r="AJ156" i="3"/>
  <c r="BO156" i="3" s="1"/>
  <c r="M100" i="15" s="1"/>
  <c r="BJ156" i="3"/>
  <c r="V100" i="15" s="1"/>
  <c r="AP156" i="3"/>
  <c r="N100" i="15" s="1"/>
  <c r="BU156" i="3"/>
  <c r="Y156" i="3"/>
  <c r="BC156" i="3"/>
  <c r="AS156" i="3"/>
  <c r="AA156" i="3" l="1"/>
  <c r="BM156" i="3"/>
  <c r="I100" i="15" s="1"/>
  <c r="AD156" i="3"/>
  <c r="H100" i="15" s="1"/>
  <c r="AN156" i="3"/>
  <c r="L100" i="15" s="1"/>
  <c r="U94" i="3"/>
  <c r="AS94" i="3" s="1"/>
  <c r="U93" i="3"/>
  <c r="AS93" i="3" s="1"/>
  <c r="AS92" i="3"/>
  <c r="AI92" i="3"/>
  <c r="Y92" i="3"/>
  <c r="BC92" i="3" s="1"/>
  <c r="BI156" i="3" l="1"/>
  <c r="AE156" i="3"/>
  <c r="AO156" i="3"/>
  <c r="BL156" i="3"/>
  <c r="AC156" i="3"/>
  <c r="AY156" i="3"/>
  <c r="BC93" i="3"/>
  <c r="AI94" i="3"/>
  <c r="BC94" i="3"/>
  <c r="AI93" i="3"/>
  <c r="AA90" i="3"/>
  <c r="AF151" i="3" l="1"/>
  <c r="J76" i="15" s="1"/>
  <c r="BG152" i="3"/>
  <c r="BR152" i="3"/>
  <c r="BO152" i="3"/>
  <c r="BN152" i="3"/>
  <c r="BM152" i="3"/>
  <c r="I77" i="15" s="1"/>
  <c r="AT152" i="3"/>
  <c r="BQ152" i="3" s="1"/>
  <c r="Q77" i="15" s="1"/>
  <c r="AD152" i="3"/>
  <c r="H77" i="15" s="1"/>
  <c r="AA152" i="3"/>
  <c r="AO152" i="3" s="1"/>
  <c r="BD152" i="3"/>
  <c r="BS152" i="3" s="1"/>
  <c r="U77" i="15" s="1"/>
  <c r="AN152" i="3"/>
  <c r="AM152" i="3"/>
  <c r="AI152" i="3"/>
  <c r="Y152" i="3"/>
  <c r="V152" i="3"/>
  <c r="AZ152" i="3" s="1"/>
  <c r="R77" i="15" s="1"/>
  <c r="U152" i="3"/>
  <c r="AS152" i="3" s="1"/>
  <c r="AB135" i="3"/>
  <c r="AA123" i="3"/>
  <c r="BT151" i="3"/>
  <c r="BS151" i="3"/>
  <c r="U76" i="15" s="1"/>
  <c r="BR151" i="3"/>
  <c r="BQ151" i="3"/>
  <c r="Q76" i="15" s="1"/>
  <c r="BP151" i="3"/>
  <c r="BN151" i="3"/>
  <c r="BH151" i="3"/>
  <c r="BG151" i="3"/>
  <c r="AX151" i="3"/>
  <c r="AW151" i="3"/>
  <c r="AS151" i="3"/>
  <c r="AM151" i="3"/>
  <c r="AI151" i="3"/>
  <c r="BS131" i="3"/>
  <c r="U87" i="15" s="1"/>
  <c r="BQ131" i="3"/>
  <c r="Q87" i="15" s="1"/>
  <c r="BO131" i="3"/>
  <c r="M87" i="15" s="1"/>
  <c r="V131" i="3"/>
  <c r="U151" i="3"/>
  <c r="BU151" i="3" s="1"/>
  <c r="BR131" i="3"/>
  <c r="U206" i="15" s="1"/>
  <c r="BP131" i="3"/>
  <c r="Q206" i="15" s="1"/>
  <c r="BN131" i="3"/>
  <c r="M206" i="15" s="1"/>
  <c r="BL131" i="3"/>
  <c r="I206" i="15" s="1"/>
  <c r="BI131" i="3"/>
  <c r="V206" i="15" s="1"/>
  <c r="BH131" i="3"/>
  <c r="T87" i="15" s="1"/>
  <c r="BG131" i="3"/>
  <c r="AY131" i="3"/>
  <c r="R206" i="15" s="1"/>
  <c r="AX131" i="3"/>
  <c r="P87" i="15" s="1"/>
  <c r="AW131" i="3"/>
  <c r="AO131" i="3"/>
  <c r="N206" i="15" s="1"/>
  <c r="AN131" i="3"/>
  <c r="L87" i="15" s="1"/>
  <c r="AM131" i="3"/>
  <c r="AE131" i="3"/>
  <c r="J206" i="15" s="1"/>
  <c r="AB132" i="3"/>
  <c r="BT131" i="3"/>
  <c r="AI131" i="3"/>
  <c r="U131" i="3"/>
  <c r="BU131" i="3" s="1"/>
  <c r="AM134" i="3"/>
  <c r="BH152" i="3" l="1"/>
  <c r="AZ131" i="3"/>
  <c r="R87" i="15" s="1"/>
  <c r="Z131" i="3"/>
  <c r="AD131" i="3" s="1"/>
  <c r="BV152" i="3"/>
  <c r="AX152" i="3"/>
  <c r="AF131" i="3"/>
  <c r="J87" i="15" s="1"/>
  <c r="AP152" i="3"/>
  <c r="N77" i="15" s="1"/>
  <c r="AR152" i="3"/>
  <c r="BI152" i="3"/>
  <c r="X152" i="3"/>
  <c r="AC152" i="3" s="1"/>
  <c r="BJ152" i="3"/>
  <c r="V77" i="15" s="1"/>
  <c r="Y151" i="3"/>
  <c r="Z151" i="3"/>
  <c r="AD151" i="3" s="1"/>
  <c r="H76" i="15" s="1"/>
  <c r="BC151" i="3"/>
  <c r="AE152" i="3"/>
  <c r="AY152" i="3"/>
  <c r="AF152" i="3"/>
  <c r="J77" i="15" s="1"/>
  <c r="AJ151" i="3"/>
  <c r="BO151" i="3" s="1"/>
  <c r="BC152" i="3"/>
  <c r="BU152" i="3"/>
  <c r="BJ151" i="3"/>
  <c r="V76" i="15" s="1"/>
  <c r="AP151" i="3"/>
  <c r="N76" i="15" s="1"/>
  <c r="AZ151" i="3"/>
  <c r="R76" i="15" s="1"/>
  <c r="BJ131" i="3"/>
  <c r="V87" i="15" s="1"/>
  <c r="AP131" i="3"/>
  <c r="N87" i="15" s="1"/>
  <c r="BC131" i="3"/>
  <c r="AS131" i="3"/>
  <c r="AA10" i="3"/>
  <c r="AE10" i="3" s="1"/>
  <c r="J113" i="15" s="1"/>
  <c r="AA65" i="3"/>
  <c r="T135" i="15"/>
  <c r="P135" i="15"/>
  <c r="L135" i="15"/>
  <c r="H135" i="15"/>
  <c r="BV69" i="3"/>
  <c r="BT69" i="3"/>
  <c r="BR69" i="3"/>
  <c r="U135" i="15" s="1"/>
  <c r="BQ69" i="3"/>
  <c r="Q102" i="15" s="1"/>
  <c r="BP69" i="3"/>
  <c r="Q135" i="15" s="1"/>
  <c r="BO69" i="3"/>
  <c r="M102" i="15" s="1"/>
  <c r="BN69" i="3"/>
  <c r="M135" i="15" s="1"/>
  <c r="BM69" i="3"/>
  <c r="I102" i="15" s="1"/>
  <c r="BL69" i="3"/>
  <c r="I135" i="15" s="1"/>
  <c r="BI69" i="3"/>
  <c r="V135" i="15" s="1"/>
  <c r="BG69" i="3"/>
  <c r="AY69" i="3"/>
  <c r="R135" i="15" s="1"/>
  <c r="AX69" i="3"/>
  <c r="P102" i="15" s="1"/>
  <c r="AW69" i="3"/>
  <c r="AO69" i="3"/>
  <c r="N135" i="15" s="1"/>
  <c r="AN69" i="3"/>
  <c r="L102" i="15" s="1"/>
  <c r="AM69" i="3"/>
  <c r="AE69" i="3"/>
  <c r="J135" i="15" s="1"/>
  <c r="AD69" i="3"/>
  <c r="H102" i="15" s="1"/>
  <c r="AC69" i="3"/>
  <c r="U69" i="3"/>
  <c r="BU69" i="3" s="1"/>
  <c r="K69" i="3"/>
  <c r="BT68" i="3"/>
  <c r="BS68" i="3"/>
  <c r="BR68" i="3"/>
  <c r="BQ68" i="3"/>
  <c r="BP68" i="3"/>
  <c r="BO68" i="3"/>
  <c r="BN68" i="3"/>
  <c r="BH68" i="3"/>
  <c r="BG68" i="3"/>
  <c r="AX68" i="3"/>
  <c r="AW68" i="3"/>
  <c r="AN68" i="3"/>
  <c r="AM68" i="3"/>
  <c r="AA68" i="3"/>
  <c r="AO68" i="3" s="1"/>
  <c r="U68" i="3"/>
  <c r="BC68" i="3" s="1"/>
  <c r="V68" i="3"/>
  <c r="Z68" i="3" s="1"/>
  <c r="V69" i="3" l="1"/>
  <c r="AZ69" i="3" s="1"/>
  <c r="R102" i="15" s="1"/>
  <c r="BV131" i="3"/>
  <c r="BM131" i="3"/>
  <c r="I87" i="15" s="1"/>
  <c r="H87" i="15"/>
  <c r="AN151" i="3"/>
  <c r="BV151" i="3"/>
  <c r="BM151" i="3"/>
  <c r="I76" i="15" s="1"/>
  <c r="AA151" i="3"/>
  <c r="BT152" i="3"/>
  <c r="BL152" i="3"/>
  <c r="BP152" i="3"/>
  <c r="AW152" i="3"/>
  <c r="BL68" i="3"/>
  <c r="AC68" i="3"/>
  <c r="AE68" i="3"/>
  <c r="BC69" i="3"/>
  <c r="AS69" i="3"/>
  <c r="BJ68" i="3"/>
  <c r="AZ68" i="3"/>
  <c r="AF68" i="3"/>
  <c r="AP68" i="3"/>
  <c r="N101" i="15" s="1"/>
  <c r="AS68" i="3"/>
  <c r="BI68" i="3"/>
  <c r="Y69" i="3"/>
  <c r="BD69" i="3"/>
  <c r="AI68" i="3"/>
  <c r="AY68" i="3"/>
  <c r="BU68" i="3"/>
  <c r="Y68" i="3"/>
  <c r="AI69" i="3"/>
  <c r="AA41" i="3"/>
  <c r="BJ69" i="3" l="1"/>
  <c r="V102" i="15" s="1"/>
  <c r="AP69" i="3"/>
  <c r="N102" i="15" s="1"/>
  <c r="AF69" i="3"/>
  <c r="J102" i="15" s="1"/>
  <c r="BL151" i="3"/>
  <c r="AE151" i="3"/>
  <c r="AC151" i="3"/>
  <c r="AY151" i="3"/>
  <c r="AO151" i="3"/>
  <c r="BI151" i="3"/>
  <c r="BS69" i="3"/>
  <c r="U102" i="15" s="1"/>
  <c r="BH69" i="3"/>
  <c r="T102" i="15" s="1"/>
  <c r="BV68" i="3"/>
  <c r="BM68" i="3"/>
  <c r="AD68" i="3"/>
  <c r="AE78" i="3"/>
  <c r="J180" i="15" s="1"/>
  <c r="V74" i="3" l="1"/>
  <c r="V67" i="3"/>
  <c r="K113" i="3" l="1"/>
  <c r="Z113" i="3" s="1"/>
  <c r="K109" i="3" l="1"/>
  <c r="K108" i="3"/>
  <c r="K88" i="3"/>
  <c r="Z88" i="3" s="1"/>
  <c r="K83" i="3" l="1"/>
  <c r="K80" i="3"/>
  <c r="Z80" i="3" l="1"/>
  <c r="AA80" i="3" s="1"/>
  <c r="AC80" i="3" s="1"/>
  <c r="BD80" i="3"/>
  <c r="K102" i="3"/>
  <c r="Z102" i="3" s="1"/>
  <c r="K103" i="3"/>
  <c r="Z103" i="3" s="1"/>
  <c r="AA103" i="3" s="1"/>
  <c r="K92" i="3"/>
  <c r="Z92" i="3" s="1"/>
  <c r="K155" i="3" l="1"/>
  <c r="V94" i="3"/>
  <c r="Z94" i="3" s="1"/>
  <c r="BV155" i="3"/>
  <c r="BT155" i="3"/>
  <c r="BS155" i="3"/>
  <c r="U26" i="15" s="1"/>
  <c r="BR155" i="3"/>
  <c r="BQ155" i="3"/>
  <c r="Q26" i="15" s="1"/>
  <c r="BP155" i="3"/>
  <c r="BO155" i="3"/>
  <c r="M26" i="15" s="1"/>
  <c r="BN155" i="3"/>
  <c r="BM155" i="3"/>
  <c r="I26" i="15" s="1"/>
  <c r="BH155" i="3"/>
  <c r="T26" i="15" s="1"/>
  <c r="BG155" i="3"/>
  <c r="AX155" i="3"/>
  <c r="P26" i="15" s="1"/>
  <c r="AW155" i="3"/>
  <c r="AN155" i="3"/>
  <c r="L26" i="15" s="1"/>
  <c r="AM155" i="3"/>
  <c r="AI155" i="3"/>
  <c r="AD155" i="3"/>
  <c r="H26" i="15" s="1"/>
  <c r="AA155" i="3"/>
  <c r="AE155" i="3" s="1"/>
  <c r="U155" i="3"/>
  <c r="AS155" i="3" s="1"/>
  <c r="V155" i="3" l="1"/>
  <c r="AF155" i="3" s="1"/>
  <c r="J26" i="15" s="1"/>
  <c r="BC155" i="3"/>
  <c r="BU155" i="3"/>
  <c r="Y155" i="3"/>
  <c r="AO155" i="3"/>
  <c r="BI155" i="3"/>
  <c r="BL155" i="3"/>
  <c r="AY155" i="3"/>
  <c r="BJ155" i="3"/>
  <c r="V26" i="15" s="1"/>
  <c r="AC155" i="3"/>
  <c r="AZ155" i="3" l="1"/>
  <c r="R26" i="15" s="1"/>
  <c r="AP155" i="3"/>
  <c r="N26" i="15" s="1"/>
  <c r="AB99" i="3"/>
  <c r="V52" i="3" l="1"/>
  <c r="H79" i="15" l="1"/>
  <c r="H81" i="15"/>
  <c r="H80" i="15"/>
  <c r="H21" i="15"/>
  <c r="H17" i="15"/>
  <c r="AA28" i="3"/>
  <c r="AD28" i="3"/>
  <c r="BL149" i="3" l="1"/>
  <c r="AC149" i="3"/>
  <c r="BL147" i="3"/>
  <c r="BH146" i="3"/>
  <c r="AN146" i="3"/>
  <c r="AM146" i="3"/>
  <c r="AC147" i="3"/>
  <c r="AF146" i="3"/>
  <c r="AD146" i="3"/>
  <c r="BM107" i="3"/>
  <c r="AA20" i="3"/>
  <c r="BR11" i="3"/>
  <c r="BR10" i="3"/>
  <c r="BP11" i="3"/>
  <c r="BP10" i="3"/>
  <c r="BN11" i="3"/>
  <c r="BN10" i="3"/>
  <c r="BL11" i="3"/>
  <c r="BL10" i="3"/>
  <c r="AA9" i="3"/>
  <c r="AE11" i="3"/>
  <c r="AC10" i="3"/>
  <c r="AC11" i="3"/>
  <c r="AA13" i="3"/>
  <c r="AE9" i="3" l="1"/>
  <c r="AC9" i="3"/>
  <c r="AA125" i="3"/>
  <c r="AF54" i="3" l="1"/>
  <c r="AE58" i="3"/>
  <c r="AO58" i="3"/>
  <c r="H118" i="15"/>
  <c r="BS52" i="3"/>
  <c r="U97" i="15" s="1"/>
  <c r="BQ52" i="3"/>
  <c r="Q97" i="15" s="1"/>
  <c r="BO52" i="3"/>
  <c r="M97" i="15" s="1"/>
  <c r="BM52" i="3"/>
  <c r="I97" i="15" s="1"/>
  <c r="BH52" i="3"/>
  <c r="T97" i="15" s="1"/>
  <c r="AX52" i="3"/>
  <c r="P97" i="15" s="1"/>
  <c r="AX51" i="3"/>
  <c r="AN52" i="3"/>
  <c r="L97" i="15" s="1"/>
  <c r="BS54" i="3"/>
  <c r="BQ54" i="3"/>
  <c r="BO54" i="3"/>
  <c r="BJ54" i="3"/>
  <c r="BH54" i="3"/>
  <c r="AZ54" i="3"/>
  <c r="AX54" i="3"/>
  <c r="AP54" i="3"/>
  <c r="AN54" i="3"/>
  <c r="BM54" i="3"/>
  <c r="AD54" i="3"/>
  <c r="AD55" i="3"/>
  <c r="AC63" i="3"/>
  <c r="AC47" i="3"/>
  <c r="AB42" i="3" l="1"/>
  <c r="AA154" i="3"/>
  <c r="AA135" i="3"/>
  <c r="AA134" i="3"/>
  <c r="AA133" i="3"/>
  <c r="AA132" i="3"/>
  <c r="AA130" i="3"/>
  <c r="AA129" i="3"/>
  <c r="AA128" i="3"/>
  <c r="AA127" i="3"/>
  <c r="AA126" i="3"/>
  <c r="AA40" i="3" l="1"/>
  <c r="AB142" i="3" l="1"/>
  <c r="AA142" i="3" s="1"/>
  <c r="AC141" i="3" l="1"/>
  <c r="BV54" i="3" l="1"/>
  <c r="AD52" i="3"/>
  <c r="H97" i="15" s="1"/>
  <c r="AA57" i="3"/>
  <c r="AA56" i="3"/>
  <c r="AA54" i="3"/>
  <c r="AA53" i="3"/>
  <c r="AA52" i="3"/>
  <c r="AA46" i="3"/>
  <c r="AA39" i="3" l="1"/>
  <c r="AA37" i="3"/>
  <c r="AA113" i="3" l="1"/>
  <c r="AA110" i="3" l="1"/>
  <c r="AA107" i="3"/>
  <c r="H32" i="15" s="1"/>
  <c r="AA146" i="3" l="1"/>
  <c r="AC146" i="3" s="1"/>
  <c r="AA98" i="3" l="1"/>
  <c r="AA16" i="3" l="1"/>
  <c r="H38" i="15" s="1"/>
  <c r="V36" i="3"/>
  <c r="Z36" i="3" s="1"/>
  <c r="V28" i="3"/>
  <c r="V27" i="3"/>
  <c r="V23" i="3"/>
  <c r="V20" i="3"/>
  <c r="V18" i="3"/>
  <c r="V35" i="3"/>
  <c r="V34" i="3"/>
  <c r="V30" i="3"/>
  <c r="V26" i="3"/>
  <c r="V25" i="3"/>
  <c r="V22" i="3"/>
  <c r="V17" i="3"/>
  <c r="V16" i="3"/>
  <c r="V15" i="3"/>
  <c r="Z15" i="3" s="1"/>
  <c r="AA15" i="3" s="1"/>
  <c r="H37" i="15" s="1"/>
  <c r="V19" i="3"/>
  <c r="V21" i="3"/>
  <c r="V24" i="3"/>
  <c r="V29" i="3"/>
  <c r="V31" i="3"/>
  <c r="V32" i="3"/>
  <c r="AF32" i="3" s="1"/>
  <c r="V33" i="3"/>
  <c r="AA35" i="3"/>
  <c r="AA34" i="3"/>
  <c r="AA33" i="3"/>
  <c r="AA32" i="3"/>
  <c r="AA31" i="3"/>
  <c r="AA30" i="3"/>
  <c r="AA29" i="3"/>
  <c r="AA27" i="3"/>
  <c r="AA26" i="3"/>
  <c r="AA25" i="3"/>
  <c r="AA24" i="3"/>
  <c r="AA23" i="3"/>
  <c r="AA22" i="3"/>
  <c r="AA21" i="3"/>
  <c r="AA19" i="3"/>
  <c r="AA18" i="3"/>
  <c r="H40" i="15" s="1"/>
  <c r="AA17" i="3"/>
  <c r="H39" i="15" s="1"/>
  <c r="H247" i="15" l="1"/>
  <c r="H248" i="15" s="1"/>
  <c r="H245" i="15"/>
  <c r="H246" i="15" s="1"/>
  <c r="AA74" i="3"/>
  <c r="AA73" i="3"/>
  <c r="AA71" i="3"/>
  <c r="AB88" i="3" l="1"/>
  <c r="AA88" i="3"/>
  <c r="AB87" i="3"/>
  <c r="AA87" i="3" s="1"/>
  <c r="AB86" i="3"/>
  <c r="AA86" i="3" s="1"/>
  <c r="AB85" i="3"/>
  <c r="AA85" i="3" s="1"/>
  <c r="AB83" i="3"/>
  <c r="AX105" i="3" l="1"/>
  <c r="AA62" i="3"/>
  <c r="AA61" i="3"/>
  <c r="AA60" i="3"/>
  <c r="AA59" i="3"/>
  <c r="AD105" i="3"/>
  <c r="H18" i="15" s="1"/>
  <c r="AB112" i="3" l="1"/>
  <c r="AA112" i="3"/>
  <c r="AA111" i="3"/>
  <c r="AA100" i="3" l="1"/>
  <c r="T109" i="15" l="1"/>
  <c r="P109" i="15"/>
  <c r="L109" i="15"/>
  <c r="H109" i="15"/>
  <c r="F109" i="15"/>
  <c r="D109" i="15"/>
  <c r="BT101" i="3" l="1"/>
  <c r="BT149" i="3" l="1"/>
  <c r="BB149" i="3"/>
  <c r="AR149" i="3"/>
  <c r="AH149" i="3"/>
  <c r="T149" i="3"/>
  <c r="L149" i="3"/>
  <c r="L147" i="3"/>
  <c r="T147" i="3" s="1"/>
  <c r="AO149" i="3" l="1"/>
  <c r="AY149" i="3"/>
  <c r="AE149" i="3"/>
  <c r="BI149" i="3"/>
  <c r="AM149" i="3"/>
  <c r="BN149" i="3"/>
  <c r="BP149" i="3"/>
  <c r="AW149" i="3"/>
  <c r="BT147" i="3"/>
  <c r="AO147" i="3"/>
  <c r="BI147" i="3"/>
  <c r="AE147" i="3"/>
  <c r="AY147" i="3"/>
  <c r="BR149" i="3"/>
  <c r="BG149" i="3"/>
  <c r="BB147" i="3"/>
  <c r="AH147" i="3"/>
  <c r="BR147" i="3" l="1"/>
  <c r="BG147" i="3"/>
  <c r="AR147" i="3"/>
  <c r="AM147" i="3"/>
  <c r="BN147" i="3"/>
  <c r="BC117" i="3"/>
  <c r="AS117" i="3"/>
  <c r="AI117" i="3"/>
  <c r="Y117" i="3"/>
  <c r="U117" i="3"/>
  <c r="BP147" i="3" l="1"/>
  <c r="AW147" i="3"/>
  <c r="T79" i="15"/>
  <c r="BR150" i="22" l="1"/>
  <c r="BO150" i="22"/>
  <c r="BN150" i="22"/>
  <c r="BM150" i="22"/>
  <c r="BL150" i="22"/>
  <c r="BK150" i="22"/>
  <c r="BJ150" i="22"/>
  <c r="BH150" i="22"/>
  <c r="BF150" i="22"/>
  <c r="BE150" i="22"/>
  <c r="BD150" i="22"/>
  <c r="AW150" i="22"/>
  <c r="AV150" i="22"/>
  <c r="AU150" i="22"/>
  <c r="AN150" i="22"/>
  <c r="AM150" i="22"/>
  <c r="AL150" i="22"/>
  <c r="AE150" i="22"/>
  <c r="AC150" i="22"/>
  <c r="V150" i="22"/>
  <c r="BG150" i="22" s="1"/>
  <c r="U150" i="22"/>
  <c r="BS150" i="22" s="1"/>
  <c r="BR149" i="22"/>
  <c r="BO149" i="22"/>
  <c r="BN149" i="22"/>
  <c r="BM149" i="22"/>
  <c r="BL149" i="22"/>
  <c r="BK149" i="22"/>
  <c r="BJ149" i="22"/>
  <c r="BH149" i="22"/>
  <c r="BF149" i="22"/>
  <c r="BE149" i="22"/>
  <c r="BD149" i="22"/>
  <c r="AW149" i="22"/>
  <c r="AV149" i="22"/>
  <c r="AU149" i="22"/>
  <c r="AN149" i="22"/>
  <c r="AM149" i="22"/>
  <c r="AL149" i="22"/>
  <c r="AE149" i="22"/>
  <c r="AC149" i="22"/>
  <c r="V149" i="22"/>
  <c r="BG149" i="22" s="1"/>
  <c r="U149" i="22"/>
  <c r="BS149" i="22" s="1"/>
  <c r="BR148" i="22"/>
  <c r="BO148" i="22"/>
  <c r="BN148" i="22"/>
  <c r="BM148" i="22"/>
  <c r="BL148" i="22"/>
  <c r="BK148" i="22"/>
  <c r="BJ148" i="22"/>
  <c r="BH148" i="22"/>
  <c r="BF148" i="22"/>
  <c r="BE148" i="22"/>
  <c r="BD148" i="22"/>
  <c r="AW148" i="22"/>
  <c r="AV148" i="22"/>
  <c r="AU148" i="22"/>
  <c r="AN148" i="22"/>
  <c r="AM148" i="22"/>
  <c r="AL148" i="22"/>
  <c r="AE148" i="22"/>
  <c r="AC148" i="22"/>
  <c r="V148" i="22"/>
  <c r="AX148" i="22" s="1"/>
  <c r="U148" i="22"/>
  <c r="BS148" i="22" s="1"/>
  <c r="BT147" i="22"/>
  <c r="BR147" i="22"/>
  <c r="BT146" i="22"/>
  <c r="BR146" i="22"/>
  <c r="BO146" i="22"/>
  <c r="BN146" i="22"/>
  <c r="BM146" i="22"/>
  <c r="BL146" i="22"/>
  <c r="BK146" i="22"/>
  <c r="BJ146" i="22"/>
  <c r="BI146" i="22"/>
  <c r="BH146" i="22"/>
  <c r="BF146" i="22"/>
  <c r="BE146" i="22"/>
  <c r="BD146" i="22"/>
  <c r="AW146" i="22"/>
  <c r="AV146" i="22"/>
  <c r="AU146" i="22"/>
  <c r="AN146" i="22"/>
  <c r="AM146" i="22"/>
  <c r="AL146" i="22"/>
  <c r="AE146" i="22"/>
  <c r="AD146" i="22"/>
  <c r="AC146" i="22"/>
  <c r="V146" i="22"/>
  <c r="AO146" i="22" s="1"/>
  <c r="U146" i="22"/>
  <c r="BS146" i="22" s="1"/>
  <c r="BT145" i="22"/>
  <c r="BR145" i="22"/>
  <c r="BT144" i="22"/>
  <c r="BR144" i="22"/>
  <c r="BO144" i="22"/>
  <c r="BN144" i="22"/>
  <c r="BM144" i="22"/>
  <c r="BL144" i="22"/>
  <c r="BK144" i="22"/>
  <c r="BJ144" i="22"/>
  <c r="BI144" i="22"/>
  <c r="BH144" i="22"/>
  <c r="BF144" i="22"/>
  <c r="BE144" i="22"/>
  <c r="BD144" i="22"/>
  <c r="AW144" i="22"/>
  <c r="AV144" i="22"/>
  <c r="AU144" i="22"/>
  <c r="AO144" i="22"/>
  <c r="AN144" i="22"/>
  <c r="AM144" i="22"/>
  <c r="AL144" i="22"/>
  <c r="AF144" i="22"/>
  <c r="AE144" i="22"/>
  <c r="AD144" i="22"/>
  <c r="AC144" i="22"/>
  <c r="V144" i="22"/>
  <c r="AX144" i="22" s="1"/>
  <c r="U144" i="22"/>
  <c r="BS144" i="22" s="1"/>
  <c r="BT143" i="22"/>
  <c r="BR143" i="22"/>
  <c r="BO143" i="22"/>
  <c r="BN143" i="22"/>
  <c r="BM143" i="22"/>
  <c r="BL143" i="22"/>
  <c r="BK143" i="22"/>
  <c r="BJ143" i="22"/>
  <c r="BI143" i="22"/>
  <c r="BH143" i="22"/>
  <c r="BF143" i="22"/>
  <c r="BE143" i="22"/>
  <c r="BD143" i="22"/>
  <c r="AW143" i="22"/>
  <c r="AV143" i="22"/>
  <c r="AU143" i="22"/>
  <c r="AN143" i="22"/>
  <c r="AM143" i="22"/>
  <c r="AL143" i="22"/>
  <c r="AE143" i="22"/>
  <c r="AD143" i="22"/>
  <c r="AC143" i="22"/>
  <c r="V143" i="22"/>
  <c r="BG143" i="22" s="1"/>
  <c r="U143" i="22"/>
  <c r="BS143" i="22" s="1"/>
  <c r="BT142" i="22"/>
  <c r="BR142" i="22"/>
  <c r="BO142" i="22"/>
  <c r="BN142" i="22"/>
  <c r="BM142" i="22"/>
  <c r="BL142" i="22"/>
  <c r="BK142" i="22"/>
  <c r="BJ142" i="22"/>
  <c r="BI142" i="22"/>
  <c r="BH142" i="22"/>
  <c r="BF142" i="22"/>
  <c r="BE142" i="22"/>
  <c r="BD142" i="22"/>
  <c r="AW142" i="22"/>
  <c r="AV142" i="22"/>
  <c r="AU142" i="22"/>
  <c r="AN142" i="22"/>
  <c r="AM142" i="22"/>
  <c r="AL142" i="22"/>
  <c r="AE142" i="22"/>
  <c r="AD142" i="22"/>
  <c r="AC142" i="22"/>
  <c r="V142" i="22"/>
  <c r="BG142" i="22" s="1"/>
  <c r="U142" i="22"/>
  <c r="BS142" i="22" s="1"/>
  <c r="BT141" i="22"/>
  <c r="BR141" i="22"/>
  <c r="BO141" i="22"/>
  <c r="BN141" i="22"/>
  <c r="BM141" i="22"/>
  <c r="BL141" i="22"/>
  <c r="BK141" i="22"/>
  <c r="BJ141" i="22"/>
  <c r="BI141" i="22"/>
  <c r="BH141" i="22"/>
  <c r="BF141" i="22"/>
  <c r="BE141" i="22"/>
  <c r="BD141" i="22"/>
  <c r="AW141" i="22"/>
  <c r="AV141" i="22"/>
  <c r="AU141" i="22"/>
  <c r="AN141" i="22"/>
  <c r="AM141" i="22"/>
  <c r="AL141" i="22"/>
  <c r="AE141" i="22"/>
  <c r="AD141" i="22"/>
  <c r="AC141" i="22"/>
  <c r="V141" i="22"/>
  <c r="BG141" i="22" s="1"/>
  <c r="U141" i="22"/>
  <c r="BS141" i="22" s="1"/>
  <c r="BT140" i="22"/>
  <c r="BR140" i="22"/>
  <c r="BO140" i="22"/>
  <c r="BN140" i="22"/>
  <c r="BM140" i="22"/>
  <c r="BL140" i="22"/>
  <c r="BK140" i="22"/>
  <c r="BJ140" i="22"/>
  <c r="BI140" i="22"/>
  <c r="BH140" i="22"/>
  <c r="BF140" i="22"/>
  <c r="BE140" i="22"/>
  <c r="BD140" i="22"/>
  <c r="AW140" i="22"/>
  <c r="AV140" i="22"/>
  <c r="AU140" i="22"/>
  <c r="AN140" i="22"/>
  <c r="AM140" i="22"/>
  <c r="AL140" i="22"/>
  <c r="AE140" i="22"/>
  <c r="AD140" i="22"/>
  <c r="AC140" i="22"/>
  <c r="V140" i="22"/>
  <c r="BG140" i="22" s="1"/>
  <c r="U140" i="22"/>
  <c r="BS140" i="22" s="1"/>
  <c r="BT139" i="22"/>
  <c r="BR139" i="22"/>
  <c r="BO139" i="22"/>
  <c r="BN139" i="22"/>
  <c r="BM139" i="22"/>
  <c r="BL139" i="22"/>
  <c r="BK139" i="22"/>
  <c r="BJ139" i="22"/>
  <c r="BI139" i="22"/>
  <c r="BH139" i="22"/>
  <c r="BF139" i="22"/>
  <c r="BE139" i="22"/>
  <c r="BD139" i="22"/>
  <c r="AW139" i="22"/>
  <c r="AV139" i="22"/>
  <c r="AU139" i="22"/>
  <c r="AN139" i="22"/>
  <c r="AM139" i="22"/>
  <c r="AL139" i="22"/>
  <c r="AE139" i="22"/>
  <c r="AD139" i="22"/>
  <c r="AC139" i="22"/>
  <c r="V139" i="22"/>
  <c r="AO139" i="22" s="1"/>
  <c r="U139" i="22"/>
  <c r="BS139" i="22" s="1"/>
  <c r="BT138" i="22"/>
  <c r="BR138" i="22"/>
  <c r="BO138" i="22"/>
  <c r="BN138" i="22"/>
  <c r="BM138" i="22"/>
  <c r="BL138" i="22"/>
  <c r="BK138" i="22"/>
  <c r="BJ138" i="22"/>
  <c r="BI138" i="22"/>
  <c r="BH138" i="22"/>
  <c r="BF138" i="22"/>
  <c r="BE138" i="22"/>
  <c r="BD138" i="22"/>
  <c r="AW138" i="22"/>
  <c r="AV138" i="22"/>
  <c r="AU138" i="22"/>
  <c r="AN138" i="22"/>
  <c r="AM138" i="22"/>
  <c r="AL138" i="22"/>
  <c r="AE138" i="22"/>
  <c r="AD138" i="22"/>
  <c r="AC138" i="22"/>
  <c r="V138" i="22"/>
  <c r="BG138" i="22" s="1"/>
  <c r="U138" i="22"/>
  <c r="BS138" i="22" s="1"/>
  <c r="BT137" i="22"/>
  <c r="BR137" i="22"/>
  <c r="BO137" i="22"/>
  <c r="BN137" i="22"/>
  <c r="BM137" i="22"/>
  <c r="BL137" i="22"/>
  <c r="BK137" i="22"/>
  <c r="BJ137" i="22"/>
  <c r="BI137" i="22"/>
  <c r="BH137" i="22"/>
  <c r="BF137" i="22"/>
  <c r="BE137" i="22"/>
  <c r="BD137" i="22"/>
  <c r="AW137" i="22"/>
  <c r="AV137" i="22"/>
  <c r="AU137" i="22"/>
  <c r="AN137" i="22"/>
  <c r="AM137" i="22"/>
  <c r="AL137" i="22"/>
  <c r="AE137" i="22"/>
  <c r="AD137" i="22"/>
  <c r="AC137" i="22"/>
  <c r="V137" i="22"/>
  <c r="BG137" i="22" s="1"/>
  <c r="U137" i="22"/>
  <c r="BS137" i="22" s="1"/>
  <c r="BT136" i="22"/>
  <c r="BR136" i="22"/>
  <c r="BO136" i="22"/>
  <c r="BN136" i="22"/>
  <c r="BM136" i="22"/>
  <c r="BL136" i="22"/>
  <c r="BK136" i="22"/>
  <c r="BJ136" i="22"/>
  <c r="BI136" i="22"/>
  <c r="BH136" i="22"/>
  <c r="BF136" i="22"/>
  <c r="BE136" i="22"/>
  <c r="BD136" i="22"/>
  <c r="AW136" i="22"/>
  <c r="AV136" i="22"/>
  <c r="AU136" i="22"/>
  <c r="AN136" i="22"/>
  <c r="AM136" i="22"/>
  <c r="AL136" i="22"/>
  <c r="AE136" i="22"/>
  <c r="AD136" i="22"/>
  <c r="AC136" i="22"/>
  <c r="V136" i="22"/>
  <c r="BG136" i="22" s="1"/>
  <c r="U136" i="22"/>
  <c r="BS136" i="22" s="1"/>
  <c r="BT135" i="22"/>
  <c r="BR135" i="22"/>
  <c r="BO135" i="22"/>
  <c r="BN135" i="22"/>
  <c r="BM135" i="22"/>
  <c r="BL135" i="22"/>
  <c r="BK135" i="22"/>
  <c r="BJ135" i="22"/>
  <c r="BI135" i="22"/>
  <c r="BH135" i="22"/>
  <c r="BF135" i="22"/>
  <c r="BE135" i="22"/>
  <c r="BD135" i="22"/>
  <c r="AW135" i="22"/>
  <c r="AV135" i="22"/>
  <c r="AU135" i="22"/>
  <c r="AN135" i="22"/>
  <c r="AM135" i="22"/>
  <c r="AL135" i="22"/>
  <c r="AE135" i="22"/>
  <c r="AD135" i="22"/>
  <c r="AC135" i="22"/>
  <c r="V135" i="22"/>
  <c r="BG135" i="22" s="1"/>
  <c r="U135" i="22"/>
  <c r="BS135" i="22" s="1"/>
  <c r="BT134" i="22"/>
  <c r="BR134" i="22"/>
  <c r="BO134" i="22"/>
  <c r="BN134" i="22"/>
  <c r="BM134" i="22"/>
  <c r="BL134" i="22"/>
  <c r="BK134" i="22"/>
  <c r="BJ134" i="22"/>
  <c r="BI134" i="22"/>
  <c r="BH134" i="22"/>
  <c r="BF134" i="22"/>
  <c r="BE134" i="22"/>
  <c r="BD134" i="22"/>
  <c r="AW134" i="22"/>
  <c r="AV134" i="22"/>
  <c r="AU134" i="22"/>
  <c r="AN134" i="22"/>
  <c r="AM134" i="22"/>
  <c r="AL134" i="22"/>
  <c r="AE134" i="22"/>
  <c r="AD134" i="22"/>
  <c r="AC134" i="22"/>
  <c r="V134" i="22"/>
  <c r="BG134" i="22" s="1"/>
  <c r="U134" i="22"/>
  <c r="BS134" i="22" s="1"/>
  <c r="BR133" i="22"/>
  <c r="BO133" i="22"/>
  <c r="BN133" i="22"/>
  <c r="BM133" i="22"/>
  <c r="BL133" i="22"/>
  <c r="BK133" i="22"/>
  <c r="BJ133" i="22"/>
  <c r="BH133" i="22"/>
  <c r="BF133" i="22"/>
  <c r="BE133" i="22"/>
  <c r="BD133" i="22"/>
  <c r="AW133" i="22"/>
  <c r="AV133" i="22"/>
  <c r="AU133" i="22"/>
  <c r="AN133" i="22"/>
  <c r="AM133" i="22"/>
  <c r="AL133" i="22"/>
  <c r="AE133" i="22"/>
  <c r="AC133" i="22"/>
  <c r="Z133" i="22"/>
  <c r="BT133" i="22" s="1"/>
  <c r="V133" i="22"/>
  <c r="BG133" i="22" s="1"/>
  <c r="U133" i="22"/>
  <c r="BS133" i="22" s="1"/>
  <c r="BT132" i="22"/>
  <c r="BR132" i="22"/>
  <c r="BO132" i="22"/>
  <c r="BN132" i="22"/>
  <c r="BM132" i="22"/>
  <c r="BL132" i="22"/>
  <c r="BK132" i="22"/>
  <c r="BJ132" i="22"/>
  <c r="BI132" i="22"/>
  <c r="BH132" i="22"/>
  <c r="BF132" i="22"/>
  <c r="BE132" i="22"/>
  <c r="BD132" i="22"/>
  <c r="AW132" i="22"/>
  <c r="AV132" i="22"/>
  <c r="AU132" i="22"/>
  <c r="AN132" i="22"/>
  <c r="AM132" i="22"/>
  <c r="AL132" i="22"/>
  <c r="AE132" i="22"/>
  <c r="AD132" i="22"/>
  <c r="AC132" i="22"/>
  <c r="V132" i="22"/>
  <c r="BG132" i="22" s="1"/>
  <c r="U132" i="22"/>
  <c r="BS132" i="22" s="1"/>
  <c r="BT131" i="22"/>
  <c r="BR131" i="22"/>
  <c r="BO131" i="22"/>
  <c r="BN131" i="22"/>
  <c r="BM131" i="22"/>
  <c r="BL131" i="22"/>
  <c r="BK131" i="22"/>
  <c r="BJ131" i="22"/>
  <c r="BI131" i="22"/>
  <c r="BH131" i="22"/>
  <c r="BF131" i="22"/>
  <c r="BE131" i="22"/>
  <c r="BD131" i="22"/>
  <c r="AX131" i="22"/>
  <c r="AW131" i="22"/>
  <c r="AV131" i="22"/>
  <c r="AU131" i="22"/>
  <c r="AN131" i="22"/>
  <c r="AM131" i="22"/>
  <c r="AL131" i="22"/>
  <c r="AE131" i="22"/>
  <c r="AD131" i="22"/>
  <c r="AC131" i="22"/>
  <c r="V131" i="22"/>
  <c r="BG131" i="22" s="1"/>
  <c r="U131" i="22"/>
  <c r="BS131" i="22" s="1"/>
  <c r="BR130" i="22"/>
  <c r="BO130" i="22"/>
  <c r="BN130" i="22"/>
  <c r="BM130" i="22"/>
  <c r="BL130" i="22"/>
  <c r="BK130" i="22"/>
  <c r="BJ130" i="22"/>
  <c r="BI130" i="22"/>
  <c r="BH130" i="22"/>
  <c r="BF130" i="22"/>
  <c r="BE130" i="22"/>
  <c r="BD130" i="22"/>
  <c r="AX130" i="22"/>
  <c r="AW130" i="22"/>
  <c r="AV130" i="22"/>
  <c r="AU130" i="22"/>
  <c r="AN130" i="22"/>
  <c r="AM130" i="22"/>
  <c r="AL130" i="22"/>
  <c r="AF130" i="22"/>
  <c r="AE130" i="22"/>
  <c r="AD130" i="22"/>
  <c r="AC130" i="22"/>
  <c r="Z130" i="22"/>
  <c r="BT130" i="22" s="1"/>
  <c r="V130" i="22"/>
  <c r="BG130" i="22" s="1"/>
  <c r="U130" i="22"/>
  <c r="BS130" i="22" s="1"/>
  <c r="BT129" i="22"/>
  <c r="BR129" i="22"/>
  <c r="BO129" i="22"/>
  <c r="BN129" i="22"/>
  <c r="BM129" i="22"/>
  <c r="BL129" i="22"/>
  <c r="BK129" i="22"/>
  <c r="BJ129" i="22"/>
  <c r="BI129" i="22"/>
  <c r="BH129" i="22"/>
  <c r="BF129" i="22"/>
  <c r="BE129" i="22"/>
  <c r="BD129" i="22"/>
  <c r="AW129" i="22"/>
  <c r="AV129" i="22"/>
  <c r="AU129" i="22"/>
  <c r="AN129" i="22"/>
  <c r="AM129" i="22"/>
  <c r="AL129" i="22"/>
  <c r="AE129" i="22"/>
  <c r="AD129" i="22"/>
  <c r="AC129" i="22"/>
  <c r="V129" i="22"/>
  <c r="BG129" i="22" s="1"/>
  <c r="U129" i="22"/>
  <c r="BS129" i="22" s="1"/>
  <c r="BT128" i="22"/>
  <c r="BR128" i="22"/>
  <c r="BO128" i="22"/>
  <c r="BN128" i="22"/>
  <c r="BM128" i="22"/>
  <c r="BL128" i="22"/>
  <c r="BK128" i="22"/>
  <c r="BJ128" i="22"/>
  <c r="BI128" i="22"/>
  <c r="BH128" i="22"/>
  <c r="BF128" i="22"/>
  <c r="BE128" i="22"/>
  <c r="BD128" i="22"/>
  <c r="AW128" i="22"/>
  <c r="AV128" i="22"/>
  <c r="AU128" i="22"/>
  <c r="AN128" i="22"/>
  <c r="AM128" i="22"/>
  <c r="AL128" i="22"/>
  <c r="AE128" i="22"/>
  <c r="AD128" i="22"/>
  <c r="AC128" i="22"/>
  <c r="V128" i="22"/>
  <c r="BG128" i="22" s="1"/>
  <c r="U128" i="22"/>
  <c r="BS128" i="22" s="1"/>
  <c r="BT127" i="22"/>
  <c r="BR127" i="22"/>
  <c r="BO127" i="22"/>
  <c r="BN127" i="22"/>
  <c r="BM127" i="22"/>
  <c r="BL127" i="22"/>
  <c r="BK127" i="22"/>
  <c r="BJ127" i="22"/>
  <c r="BI127" i="22"/>
  <c r="BH127" i="22"/>
  <c r="BF127" i="22"/>
  <c r="BE127" i="22"/>
  <c r="BD127" i="22"/>
  <c r="AW127" i="22"/>
  <c r="AV127" i="22"/>
  <c r="AU127" i="22"/>
  <c r="AN127" i="22"/>
  <c r="AM127" i="22"/>
  <c r="AL127" i="22"/>
  <c r="AE127" i="22"/>
  <c r="AD127" i="22"/>
  <c r="AC127" i="22"/>
  <c r="V127" i="22"/>
  <c r="BG127" i="22" s="1"/>
  <c r="U127" i="22"/>
  <c r="BS127" i="22" s="1"/>
  <c r="BT126" i="22"/>
  <c r="BR126" i="22"/>
  <c r="BO126" i="22"/>
  <c r="BN126" i="22"/>
  <c r="BM126" i="22"/>
  <c r="BL126" i="22"/>
  <c r="BK126" i="22"/>
  <c r="BJ126" i="22"/>
  <c r="BI126" i="22"/>
  <c r="BH126" i="22"/>
  <c r="BF126" i="22"/>
  <c r="BE126" i="22"/>
  <c r="BD126" i="22"/>
  <c r="AW126" i="22"/>
  <c r="AV126" i="22"/>
  <c r="AU126" i="22"/>
  <c r="AN126" i="22"/>
  <c r="AM126" i="22"/>
  <c r="AL126" i="22"/>
  <c r="AE126" i="22"/>
  <c r="AD126" i="22"/>
  <c r="AC126" i="22"/>
  <c r="V126" i="22"/>
  <c r="BG126" i="22" s="1"/>
  <c r="U126" i="22"/>
  <c r="BS126" i="22" s="1"/>
  <c r="BR125" i="22"/>
  <c r="BO125" i="22"/>
  <c r="BN125" i="22"/>
  <c r="BM125" i="22"/>
  <c r="BL125" i="22"/>
  <c r="BK125" i="22"/>
  <c r="BJ125" i="22"/>
  <c r="BH125" i="22"/>
  <c r="BF125" i="22"/>
  <c r="BE125" i="22"/>
  <c r="BD125" i="22"/>
  <c r="AW125" i="22"/>
  <c r="AV125" i="22"/>
  <c r="AU125" i="22"/>
  <c r="AN125" i="22"/>
  <c r="AM125" i="22"/>
  <c r="AL125" i="22"/>
  <c r="AE125" i="22"/>
  <c r="AC125" i="22"/>
  <c r="V125" i="22"/>
  <c r="Z125" i="22" s="1"/>
  <c r="U125" i="22"/>
  <c r="BS125" i="22" s="1"/>
  <c r="BR124" i="22"/>
  <c r="BO124" i="22"/>
  <c r="BN124" i="22"/>
  <c r="BM124" i="22"/>
  <c r="BL124" i="22"/>
  <c r="BK124" i="22"/>
  <c r="BJ124" i="22"/>
  <c r="BH124" i="22"/>
  <c r="BF124" i="22"/>
  <c r="BE124" i="22"/>
  <c r="BD124" i="22"/>
  <c r="AW124" i="22"/>
  <c r="AV124" i="22"/>
  <c r="AU124" i="22"/>
  <c r="AN124" i="22"/>
  <c r="AM124" i="22"/>
  <c r="AL124" i="22"/>
  <c r="AE124" i="22"/>
  <c r="AC124" i="22"/>
  <c r="V124" i="22"/>
  <c r="BG124" i="22" s="1"/>
  <c r="U124" i="22"/>
  <c r="BS124" i="22" s="1"/>
  <c r="BT123" i="22"/>
  <c r="BR123" i="22"/>
  <c r="BO123" i="22"/>
  <c r="BN123" i="22"/>
  <c r="BM123" i="22"/>
  <c r="BL123" i="22"/>
  <c r="BK123" i="22"/>
  <c r="BJ123" i="22"/>
  <c r="BI123" i="22"/>
  <c r="BH123" i="22"/>
  <c r="BF123" i="22"/>
  <c r="BE123" i="22"/>
  <c r="BD123" i="22"/>
  <c r="AW123" i="22"/>
  <c r="AV123" i="22"/>
  <c r="AU123" i="22"/>
  <c r="AN123" i="22"/>
  <c r="AM123" i="22"/>
  <c r="AL123" i="22"/>
  <c r="AE123" i="22"/>
  <c r="AD123" i="22"/>
  <c r="AC123" i="22"/>
  <c r="V123" i="22"/>
  <c r="BG123" i="22" s="1"/>
  <c r="U123" i="22"/>
  <c r="BS123" i="22" s="1"/>
  <c r="BT122" i="22"/>
  <c r="BR122" i="22"/>
  <c r="BO122" i="22"/>
  <c r="BN122" i="22"/>
  <c r="BM122" i="22"/>
  <c r="BL122" i="22"/>
  <c r="BK122" i="22"/>
  <c r="BJ122" i="22"/>
  <c r="BI122" i="22"/>
  <c r="BH122" i="22"/>
  <c r="BF122" i="22"/>
  <c r="BE122" i="22"/>
  <c r="BD122" i="22"/>
  <c r="AX122" i="22"/>
  <c r="AW122" i="22"/>
  <c r="AV122" i="22"/>
  <c r="AU122" i="22"/>
  <c r="AN122" i="22"/>
  <c r="AM122" i="22"/>
  <c r="AL122" i="22"/>
  <c r="AF122" i="22"/>
  <c r="AE122" i="22"/>
  <c r="AD122" i="22"/>
  <c r="AC122" i="22"/>
  <c r="V122" i="22"/>
  <c r="BG122" i="22" s="1"/>
  <c r="U122" i="22"/>
  <c r="BS122" i="22" s="1"/>
  <c r="BT121" i="22"/>
  <c r="BR121" i="22"/>
  <c r="BO121" i="22"/>
  <c r="BN121" i="22"/>
  <c r="BM121" i="22"/>
  <c r="BL121" i="22"/>
  <c r="BK121" i="22"/>
  <c r="BJ121" i="22"/>
  <c r="BI121" i="22"/>
  <c r="BH121" i="22"/>
  <c r="BF121" i="22"/>
  <c r="BE121" i="22"/>
  <c r="BD121" i="22"/>
  <c r="AW121" i="22"/>
  <c r="AV121" i="22"/>
  <c r="AU121" i="22"/>
  <c r="AN121" i="22"/>
  <c r="AM121" i="22"/>
  <c r="AL121" i="22"/>
  <c r="AF121" i="22"/>
  <c r="AE121" i="22"/>
  <c r="AD121" i="22"/>
  <c r="AC121" i="22"/>
  <c r="V121" i="22"/>
  <c r="BG121" i="22" s="1"/>
  <c r="U121" i="22"/>
  <c r="BS121" i="22" s="1"/>
  <c r="BT120" i="22"/>
  <c r="BR120" i="22"/>
  <c r="BO120" i="22"/>
  <c r="BN120" i="22"/>
  <c r="BM120" i="22"/>
  <c r="BL120" i="22"/>
  <c r="BK120" i="22"/>
  <c r="BJ120" i="22"/>
  <c r="BI120" i="22"/>
  <c r="BH120" i="22"/>
  <c r="BF120" i="22"/>
  <c r="BE120" i="22"/>
  <c r="BD120" i="22"/>
  <c r="AW120" i="22"/>
  <c r="AV120" i="22"/>
  <c r="AU120" i="22"/>
  <c r="AN120" i="22"/>
  <c r="AM120" i="22"/>
  <c r="AL120" i="22"/>
  <c r="AE120" i="22"/>
  <c r="AD120" i="22"/>
  <c r="AC120" i="22"/>
  <c r="V120" i="22"/>
  <c r="BG120" i="22" s="1"/>
  <c r="U120" i="22"/>
  <c r="BS120" i="22" s="1"/>
  <c r="BT119" i="22"/>
  <c r="BR119" i="22"/>
  <c r="BO119" i="22"/>
  <c r="BN119" i="22"/>
  <c r="BM119" i="22"/>
  <c r="BL119" i="22"/>
  <c r="BK119" i="22"/>
  <c r="BJ119" i="22"/>
  <c r="BI119" i="22"/>
  <c r="BH119" i="22"/>
  <c r="BF119" i="22"/>
  <c r="BE119" i="22"/>
  <c r="BD119" i="22"/>
  <c r="AW119" i="22"/>
  <c r="AV119" i="22"/>
  <c r="AU119" i="22"/>
  <c r="AN119" i="22"/>
  <c r="AM119" i="22"/>
  <c r="AL119" i="22"/>
  <c r="AE119" i="22"/>
  <c r="AD119" i="22"/>
  <c r="AC119" i="22"/>
  <c r="V119" i="22"/>
  <c r="AO119" i="22" s="1"/>
  <c r="U119" i="22"/>
  <c r="BS119" i="22" s="1"/>
  <c r="BT118" i="22"/>
  <c r="BR118" i="22"/>
  <c r="BO118" i="22"/>
  <c r="BN118" i="22"/>
  <c r="BM118" i="22"/>
  <c r="BL118" i="22"/>
  <c r="BK118" i="22"/>
  <c r="BJ118" i="22"/>
  <c r="BI118" i="22"/>
  <c r="BH118" i="22"/>
  <c r="BF118" i="22"/>
  <c r="BE118" i="22"/>
  <c r="BD118" i="22"/>
  <c r="AW118" i="22"/>
  <c r="AV118" i="22"/>
  <c r="AU118" i="22"/>
  <c r="AN118" i="22"/>
  <c r="AM118" i="22"/>
  <c r="AL118" i="22"/>
  <c r="AE118" i="22"/>
  <c r="AD118" i="22"/>
  <c r="AC118" i="22"/>
  <c r="V118" i="22"/>
  <c r="AX118" i="22" s="1"/>
  <c r="U118" i="22"/>
  <c r="BS118" i="22" s="1"/>
  <c r="BT117" i="22"/>
  <c r="BR117" i="22"/>
  <c r="BO117" i="22"/>
  <c r="BN117" i="22"/>
  <c r="BM117" i="22"/>
  <c r="BL117" i="22"/>
  <c r="BK117" i="22"/>
  <c r="BJ117" i="22"/>
  <c r="BI117" i="22"/>
  <c r="BH117" i="22"/>
  <c r="BF117" i="22"/>
  <c r="BE117" i="22"/>
  <c r="BD117" i="22"/>
  <c r="AW117" i="22"/>
  <c r="AV117" i="22"/>
  <c r="AU117" i="22"/>
  <c r="AN117" i="22"/>
  <c r="AM117" i="22"/>
  <c r="AL117" i="22"/>
  <c r="AE117" i="22"/>
  <c r="AD117" i="22"/>
  <c r="AC117" i="22"/>
  <c r="V117" i="22"/>
  <c r="BG117" i="22" s="1"/>
  <c r="U117" i="22"/>
  <c r="BS117" i="22" s="1"/>
  <c r="BT116" i="22"/>
  <c r="BR116" i="22"/>
  <c r="BO116" i="22"/>
  <c r="BN116" i="22"/>
  <c r="BM116" i="22"/>
  <c r="BL116" i="22"/>
  <c r="BK116" i="22"/>
  <c r="BJ116" i="22"/>
  <c r="BI116" i="22"/>
  <c r="BH116" i="22"/>
  <c r="BF116" i="22"/>
  <c r="BE116" i="22"/>
  <c r="BD116" i="22"/>
  <c r="AW116" i="22"/>
  <c r="AV116" i="22"/>
  <c r="AU116" i="22"/>
  <c r="AN116" i="22"/>
  <c r="AM116" i="22"/>
  <c r="AL116" i="22"/>
  <c r="AE116" i="22"/>
  <c r="AD116" i="22"/>
  <c r="AC116" i="22"/>
  <c r="V116" i="22"/>
  <c r="BG116" i="22" s="1"/>
  <c r="U116" i="22"/>
  <c r="BS116" i="22" s="1"/>
  <c r="BT115" i="22"/>
  <c r="BR115" i="22"/>
  <c r="BO115" i="22"/>
  <c r="BN115" i="22"/>
  <c r="BM115" i="22"/>
  <c r="BL115" i="22"/>
  <c r="BK115" i="22"/>
  <c r="BJ115" i="22"/>
  <c r="BI115" i="22"/>
  <c r="BH115" i="22"/>
  <c r="BF115" i="22"/>
  <c r="BE115" i="22"/>
  <c r="BD115" i="22"/>
  <c r="AW115" i="22"/>
  <c r="AV115" i="22"/>
  <c r="AU115" i="22"/>
  <c r="AN115" i="22"/>
  <c r="AM115" i="22"/>
  <c r="AL115" i="22"/>
  <c r="AE115" i="22"/>
  <c r="AD115" i="22"/>
  <c r="AC115" i="22"/>
  <c r="V115" i="22"/>
  <c r="BG115" i="22" s="1"/>
  <c r="U115" i="22"/>
  <c r="BS115" i="22" s="1"/>
  <c r="BT114" i="22"/>
  <c r="BR114" i="22"/>
  <c r="BO114" i="22"/>
  <c r="BN114" i="22"/>
  <c r="BM114" i="22"/>
  <c r="BL114" i="22"/>
  <c r="BK114" i="22"/>
  <c r="BJ114" i="22"/>
  <c r="BI114" i="22"/>
  <c r="BH114" i="22"/>
  <c r="BF114" i="22"/>
  <c r="BE114" i="22"/>
  <c r="BD114" i="22"/>
  <c r="AW114" i="22"/>
  <c r="AV114" i="22"/>
  <c r="AU114" i="22"/>
  <c r="AN114" i="22"/>
  <c r="AM114" i="22"/>
  <c r="AL114" i="22"/>
  <c r="AE114" i="22"/>
  <c r="AD114" i="22"/>
  <c r="AC114" i="22"/>
  <c r="V114" i="22"/>
  <c r="BG114" i="22" s="1"/>
  <c r="U114" i="22"/>
  <c r="BS114" i="22" s="1"/>
  <c r="BT113" i="22"/>
  <c r="BR113" i="22"/>
  <c r="BO113" i="22"/>
  <c r="BN113" i="22"/>
  <c r="BM113" i="22"/>
  <c r="BL113" i="22"/>
  <c r="BK113" i="22"/>
  <c r="BJ113" i="22"/>
  <c r="BI113" i="22"/>
  <c r="BH113" i="22"/>
  <c r="BF113" i="22"/>
  <c r="BE113" i="22"/>
  <c r="BD113" i="22"/>
  <c r="AW113" i="22"/>
  <c r="AV113" i="22"/>
  <c r="AU113" i="22"/>
  <c r="AN113" i="22"/>
  <c r="AM113" i="22"/>
  <c r="AL113" i="22"/>
  <c r="AE113" i="22"/>
  <c r="AD113" i="22"/>
  <c r="AC113" i="22"/>
  <c r="V113" i="22"/>
  <c r="BG113" i="22" s="1"/>
  <c r="U113" i="22"/>
  <c r="BS113" i="22" s="1"/>
  <c r="BT112" i="22"/>
  <c r="BR112" i="22"/>
  <c r="BO112" i="22"/>
  <c r="BN112" i="22"/>
  <c r="BM112" i="22"/>
  <c r="BL112" i="22"/>
  <c r="BK112" i="22"/>
  <c r="BJ112" i="22"/>
  <c r="BI112" i="22"/>
  <c r="BH112" i="22"/>
  <c r="BF112" i="22"/>
  <c r="BE112" i="22"/>
  <c r="BD112" i="22"/>
  <c r="AW112" i="22"/>
  <c r="AV112" i="22"/>
  <c r="AU112" i="22"/>
  <c r="AN112" i="22"/>
  <c r="AM112" i="22"/>
  <c r="AL112" i="22"/>
  <c r="AE112" i="22"/>
  <c r="AD112" i="22"/>
  <c r="AC112" i="22"/>
  <c r="V112" i="22"/>
  <c r="BG112" i="22" s="1"/>
  <c r="U112" i="22"/>
  <c r="BS112" i="22" s="1"/>
  <c r="BT111" i="22"/>
  <c r="BR111" i="22"/>
  <c r="BO111" i="22"/>
  <c r="BN111" i="22"/>
  <c r="BM111" i="22"/>
  <c r="BL111" i="22"/>
  <c r="BK111" i="22"/>
  <c r="BJ111" i="22"/>
  <c r="BI111" i="22"/>
  <c r="BH111" i="22"/>
  <c r="BF111" i="22"/>
  <c r="BE111" i="22"/>
  <c r="BD111" i="22"/>
  <c r="AW111" i="22"/>
  <c r="AV111" i="22"/>
  <c r="AU111" i="22"/>
  <c r="AN111" i="22"/>
  <c r="AM111" i="22"/>
  <c r="AL111" i="22"/>
  <c r="AE111" i="22"/>
  <c r="AD111" i="22"/>
  <c r="AC111" i="22"/>
  <c r="V111" i="22"/>
  <c r="AO111" i="22" s="1"/>
  <c r="U111" i="22"/>
  <c r="BS111" i="22" s="1"/>
  <c r="BR110" i="22"/>
  <c r="BO110" i="22"/>
  <c r="BN110" i="22"/>
  <c r="BM110" i="22"/>
  <c r="BL110" i="22"/>
  <c r="BK110" i="22"/>
  <c r="BJ110" i="22"/>
  <c r="BH110" i="22"/>
  <c r="BF110" i="22"/>
  <c r="BE110" i="22"/>
  <c r="BD110" i="22"/>
  <c r="AW110" i="22"/>
  <c r="AV110" i="22"/>
  <c r="AU110" i="22"/>
  <c r="AN110" i="22"/>
  <c r="AM110" i="22"/>
  <c r="AL110" i="22"/>
  <c r="AE110" i="22"/>
  <c r="AC110" i="22"/>
  <c r="V110" i="22"/>
  <c r="Z110" i="22" s="1"/>
  <c r="BT110" i="22" s="1"/>
  <c r="U110" i="22"/>
  <c r="BS110" i="22" s="1"/>
  <c r="BT109" i="22"/>
  <c r="BR109" i="22"/>
  <c r="BO109" i="22"/>
  <c r="BN109" i="22"/>
  <c r="BM109" i="22"/>
  <c r="BL109" i="22"/>
  <c r="BK109" i="22"/>
  <c r="BJ109" i="22"/>
  <c r="BI109" i="22"/>
  <c r="BH109" i="22"/>
  <c r="BF109" i="22"/>
  <c r="BE109" i="22"/>
  <c r="BD109" i="22"/>
  <c r="AW109" i="22"/>
  <c r="AV109" i="22"/>
  <c r="AU109" i="22"/>
  <c r="AN109" i="22"/>
  <c r="AM109" i="22"/>
  <c r="AL109" i="22"/>
  <c r="AE109" i="22"/>
  <c r="AD109" i="22"/>
  <c r="AC109" i="22"/>
  <c r="V109" i="22"/>
  <c r="BG109" i="22" s="1"/>
  <c r="U109" i="22"/>
  <c r="BS109" i="22" s="1"/>
  <c r="BR108" i="22"/>
  <c r="BN108" i="22"/>
  <c r="BL108" i="22"/>
  <c r="BJ108" i="22"/>
  <c r="BH108" i="22"/>
  <c r="BF108" i="22"/>
  <c r="BD108" i="22"/>
  <c r="AW108" i="22"/>
  <c r="AU108" i="22"/>
  <c r="AN108" i="22"/>
  <c r="AL108" i="22"/>
  <c r="AE108" i="22"/>
  <c r="AC108" i="22"/>
  <c r="V108" i="22"/>
  <c r="AR108" i="22" s="1"/>
  <c r="U108" i="22"/>
  <c r="BS108" i="22" s="1"/>
  <c r="BR107" i="22"/>
  <c r="BO107" i="22"/>
  <c r="BN107" i="22"/>
  <c r="BL107" i="22"/>
  <c r="BK107" i="22"/>
  <c r="BJ107" i="22"/>
  <c r="BH107" i="22"/>
  <c r="BF107" i="22"/>
  <c r="BE107" i="22"/>
  <c r="BD107" i="22"/>
  <c r="AW107" i="22"/>
  <c r="AU107" i="22"/>
  <c r="AN107" i="22"/>
  <c r="AM107" i="22"/>
  <c r="AL107" i="22"/>
  <c r="AE107" i="22"/>
  <c r="AC107" i="22"/>
  <c r="V107" i="22"/>
  <c r="AF107" i="22" s="1"/>
  <c r="U107" i="22"/>
  <c r="BS107" i="22" s="1"/>
  <c r="BT106" i="22"/>
  <c r="BR106" i="22"/>
  <c r="BO106" i="22"/>
  <c r="BN106" i="22"/>
  <c r="BM106" i="22"/>
  <c r="BL106" i="22"/>
  <c r="BK106" i="22"/>
  <c r="BJ106" i="22"/>
  <c r="BI106" i="22"/>
  <c r="BH106" i="22"/>
  <c r="BF106" i="22"/>
  <c r="BE106" i="22"/>
  <c r="BD106" i="22"/>
  <c r="AW106" i="22"/>
  <c r="AV106" i="22"/>
  <c r="AU106" i="22"/>
  <c r="AN106" i="22"/>
  <c r="AM106" i="22"/>
  <c r="AL106" i="22"/>
  <c r="AE106" i="22"/>
  <c r="AD106" i="22"/>
  <c r="AC106" i="22"/>
  <c r="V106" i="22"/>
  <c r="AO106" i="22" s="1"/>
  <c r="U106" i="22"/>
  <c r="BS106" i="22" s="1"/>
  <c r="BT105" i="22"/>
  <c r="BR105" i="22"/>
  <c r="BO105" i="22"/>
  <c r="BN105" i="22"/>
  <c r="BM105" i="22"/>
  <c r="BL105" i="22"/>
  <c r="BK105" i="22"/>
  <c r="BJ105" i="22"/>
  <c r="BI105" i="22"/>
  <c r="BH105" i="22"/>
  <c r="BF105" i="22"/>
  <c r="BE105" i="22"/>
  <c r="BD105" i="22"/>
  <c r="AW105" i="22"/>
  <c r="AV105" i="22"/>
  <c r="AU105" i="22"/>
  <c r="AN105" i="22"/>
  <c r="AM105" i="22"/>
  <c r="AL105" i="22"/>
  <c r="AE105" i="22"/>
  <c r="AD105" i="22"/>
  <c r="AC105" i="22"/>
  <c r="V105" i="22"/>
  <c r="AX105" i="22" s="1"/>
  <c r="U105" i="22"/>
  <c r="BS105" i="22" s="1"/>
  <c r="BT104" i="22"/>
  <c r="BR104" i="22"/>
  <c r="BO104" i="22"/>
  <c r="BN104" i="22"/>
  <c r="BM104" i="22"/>
  <c r="BL104" i="22"/>
  <c r="BK104" i="22"/>
  <c r="BJ104" i="22"/>
  <c r="BI104" i="22"/>
  <c r="BH104" i="22"/>
  <c r="BF104" i="22"/>
  <c r="BE104" i="22"/>
  <c r="BD104" i="22"/>
  <c r="AW104" i="22"/>
  <c r="AV104" i="22"/>
  <c r="AU104" i="22"/>
  <c r="AN104" i="22"/>
  <c r="AM104" i="22"/>
  <c r="AL104" i="22"/>
  <c r="AE104" i="22"/>
  <c r="AD104" i="22"/>
  <c r="AC104" i="22"/>
  <c r="V104" i="22"/>
  <c r="BG104" i="22" s="1"/>
  <c r="U104" i="22"/>
  <c r="BS104" i="22" s="1"/>
  <c r="BT103" i="22"/>
  <c r="BR103" i="22"/>
  <c r="BO103" i="22"/>
  <c r="BN103" i="22"/>
  <c r="BM103" i="22"/>
  <c r="BL103" i="22"/>
  <c r="BK103" i="22"/>
  <c r="BJ103" i="22"/>
  <c r="BI103" i="22"/>
  <c r="BH103" i="22"/>
  <c r="BF103" i="22"/>
  <c r="BE103" i="22"/>
  <c r="BD103" i="22"/>
  <c r="AW103" i="22"/>
  <c r="AV103" i="22"/>
  <c r="AU103" i="22"/>
  <c r="AN103" i="22"/>
  <c r="AM103" i="22"/>
  <c r="AL103" i="22"/>
  <c r="AE103" i="22"/>
  <c r="AD103" i="22"/>
  <c r="AC103" i="22"/>
  <c r="V103" i="22"/>
  <c r="BG103" i="22" s="1"/>
  <c r="U103" i="22"/>
  <c r="BS103" i="22" s="1"/>
  <c r="BT102" i="22"/>
  <c r="BR102" i="22"/>
  <c r="BO102" i="22"/>
  <c r="BN102" i="22"/>
  <c r="BM102" i="22"/>
  <c r="BL102" i="22"/>
  <c r="BK102" i="22"/>
  <c r="BJ102" i="22"/>
  <c r="BI102" i="22"/>
  <c r="BH102" i="22"/>
  <c r="BF102" i="22"/>
  <c r="BE102" i="22"/>
  <c r="BD102" i="22"/>
  <c r="AW102" i="22"/>
  <c r="AV102" i="22"/>
  <c r="AU102" i="22"/>
  <c r="AN102" i="22"/>
  <c r="AM102" i="22"/>
  <c r="AL102" i="22"/>
  <c r="AE102" i="22"/>
  <c r="AD102" i="22"/>
  <c r="AC102" i="22"/>
  <c r="V102" i="22"/>
  <c r="BG102" i="22" s="1"/>
  <c r="U102" i="22"/>
  <c r="BS102" i="22" s="1"/>
  <c r="BT101" i="22"/>
  <c r="BR101" i="22"/>
  <c r="BO101" i="22"/>
  <c r="BN101" i="22"/>
  <c r="BM101" i="22"/>
  <c r="BL101" i="22"/>
  <c r="BK101" i="22"/>
  <c r="BJ101" i="22"/>
  <c r="BI101" i="22"/>
  <c r="BH101" i="22"/>
  <c r="BF101" i="22"/>
  <c r="BE101" i="22"/>
  <c r="BD101" i="22"/>
  <c r="AW101" i="22"/>
  <c r="AV101" i="22"/>
  <c r="AU101" i="22"/>
  <c r="AN101" i="22"/>
  <c r="AM101" i="22"/>
  <c r="AL101" i="22"/>
  <c r="AE101" i="22"/>
  <c r="AD101" i="22"/>
  <c r="AC101" i="22"/>
  <c r="V101" i="22"/>
  <c r="BG101" i="22" s="1"/>
  <c r="U101" i="22"/>
  <c r="BS101" i="22" s="1"/>
  <c r="BT100" i="22"/>
  <c r="BR100" i="22"/>
  <c r="BO100" i="22"/>
  <c r="BN100" i="22"/>
  <c r="BM100" i="22"/>
  <c r="BL100" i="22"/>
  <c r="BK100" i="22"/>
  <c r="BJ100" i="22"/>
  <c r="BI100" i="22"/>
  <c r="BH100" i="22"/>
  <c r="BF100" i="22"/>
  <c r="BE100" i="22"/>
  <c r="BD100" i="22"/>
  <c r="AW100" i="22"/>
  <c r="AV100" i="22"/>
  <c r="AU100" i="22"/>
  <c r="AN100" i="22"/>
  <c r="AM100" i="22"/>
  <c r="AL100" i="22"/>
  <c r="AE100" i="22"/>
  <c r="AD100" i="22"/>
  <c r="AC100" i="22"/>
  <c r="V100" i="22"/>
  <c r="BG100" i="22" s="1"/>
  <c r="U100" i="22"/>
  <c r="BS100" i="22" s="1"/>
  <c r="BT99" i="22"/>
  <c r="BR99" i="22"/>
  <c r="BO99" i="22"/>
  <c r="BN99" i="22"/>
  <c r="BM99" i="22"/>
  <c r="BL99" i="22"/>
  <c r="BK99" i="22"/>
  <c r="BJ99" i="22"/>
  <c r="BI99" i="22"/>
  <c r="BH99" i="22"/>
  <c r="BF99" i="22"/>
  <c r="BE99" i="22"/>
  <c r="BD99" i="22"/>
  <c r="AW99" i="22"/>
  <c r="AV99" i="22"/>
  <c r="AU99" i="22"/>
  <c r="AN99" i="22"/>
  <c r="AM99" i="22"/>
  <c r="AL99" i="22"/>
  <c r="AE99" i="22"/>
  <c r="AD99" i="22"/>
  <c r="AC99" i="22"/>
  <c r="V99" i="22"/>
  <c r="BG99" i="22" s="1"/>
  <c r="U99" i="22"/>
  <c r="BS99" i="22" s="1"/>
  <c r="BR98" i="22"/>
  <c r="BO98" i="22"/>
  <c r="BN98" i="22"/>
  <c r="BM98" i="22"/>
  <c r="BL98" i="22"/>
  <c r="BK98" i="22"/>
  <c r="BJ98" i="22"/>
  <c r="BH98" i="22"/>
  <c r="BF98" i="22"/>
  <c r="BE98" i="22"/>
  <c r="BD98" i="22"/>
  <c r="AW98" i="22"/>
  <c r="AV98" i="22"/>
  <c r="AU98" i="22"/>
  <c r="AN98" i="22"/>
  <c r="AM98" i="22"/>
  <c r="AL98" i="22"/>
  <c r="AE98" i="22"/>
  <c r="AC98" i="22"/>
  <c r="V98" i="22"/>
  <c r="AX98" i="22" s="1"/>
  <c r="U98" i="22"/>
  <c r="BS98" i="22" s="1"/>
  <c r="BT97" i="22"/>
  <c r="BR97" i="22"/>
  <c r="BO97" i="22"/>
  <c r="BN97" i="22"/>
  <c r="BM97" i="22"/>
  <c r="BL97" i="22"/>
  <c r="BK97" i="22"/>
  <c r="BJ97" i="22"/>
  <c r="BI97" i="22"/>
  <c r="BH97" i="22"/>
  <c r="BF97" i="22"/>
  <c r="BE97" i="22"/>
  <c r="BD97" i="22"/>
  <c r="AW97" i="22"/>
  <c r="AV97" i="22"/>
  <c r="AU97" i="22"/>
  <c r="AN97" i="22"/>
  <c r="AM97" i="22"/>
  <c r="AL97" i="22"/>
  <c r="AF97" i="22"/>
  <c r="AE97" i="22"/>
  <c r="AD97" i="22"/>
  <c r="AC97" i="22"/>
  <c r="V97" i="22"/>
  <c r="BG97" i="22" s="1"/>
  <c r="U97" i="22"/>
  <c r="BS97" i="22" s="1"/>
  <c r="BT96" i="22"/>
  <c r="BR96" i="22"/>
  <c r="BO96" i="22"/>
  <c r="BN96" i="22"/>
  <c r="BM96" i="22"/>
  <c r="BL96" i="22"/>
  <c r="BK96" i="22"/>
  <c r="BJ96" i="22"/>
  <c r="BI96" i="22"/>
  <c r="BH96" i="22"/>
  <c r="BF96" i="22"/>
  <c r="BE96" i="22"/>
  <c r="BD96" i="22"/>
  <c r="AW96" i="22"/>
  <c r="AV96" i="22"/>
  <c r="AU96" i="22"/>
  <c r="AN96" i="22"/>
  <c r="AM96" i="22"/>
  <c r="AL96" i="22"/>
  <c r="AE96" i="22"/>
  <c r="AD96" i="22"/>
  <c r="AC96" i="22"/>
  <c r="V96" i="22"/>
  <c r="BG96" i="22" s="1"/>
  <c r="U96" i="22"/>
  <c r="BS96" i="22" s="1"/>
  <c r="BT95" i="22"/>
  <c r="BR95" i="22"/>
  <c r="BO95" i="22"/>
  <c r="BN95" i="22"/>
  <c r="BM95" i="22"/>
  <c r="BL95" i="22"/>
  <c r="BK95" i="22"/>
  <c r="BJ95" i="22"/>
  <c r="BI95" i="22"/>
  <c r="BH95" i="22"/>
  <c r="BF95" i="22"/>
  <c r="BE95" i="22"/>
  <c r="BD95" i="22"/>
  <c r="AW95" i="22"/>
  <c r="AV95" i="22"/>
  <c r="AU95" i="22"/>
  <c r="AN95" i="22"/>
  <c r="AM95" i="22"/>
  <c r="AL95" i="22"/>
  <c r="AE95" i="22"/>
  <c r="AD95" i="22"/>
  <c r="AC95" i="22"/>
  <c r="V95" i="22"/>
  <c r="AO95" i="22" s="1"/>
  <c r="U95" i="22"/>
  <c r="BS95" i="22" s="1"/>
  <c r="BT94" i="22"/>
  <c r="BR94" i="22"/>
  <c r="BO94" i="22"/>
  <c r="BN94" i="22"/>
  <c r="BM94" i="22"/>
  <c r="BL94" i="22"/>
  <c r="BK94" i="22"/>
  <c r="BJ94" i="22"/>
  <c r="BI94" i="22"/>
  <c r="BH94" i="22"/>
  <c r="BF94" i="22"/>
  <c r="BE94" i="22"/>
  <c r="BD94" i="22"/>
  <c r="AW94" i="22"/>
  <c r="AV94" i="22"/>
  <c r="AU94" i="22"/>
  <c r="AN94" i="22"/>
  <c r="AM94" i="22"/>
  <c r="AL94" i="22"/>
  <c r="AE94" i="22"/>
  <c r="AD94" i="22"/>
  <c r="AC94" i="22"/>
  <c r="V94" i="22"/>
  <c r="AX94" i="22" s="1"/>
  <c r="U94" i="22"/>
  <c r="BS94" i="22" s="1"/>
  <c r="BR93" i="22"/>
  <c r="BO93" i="22"/>
  <c r="BN93" i="22"/>
  <c r="BM93" i="22"/>
  <c r="BL93" i="22"/>
  <c r="BK93" i="22"/>
  <c r="BJ93" i="22"/>
  <c r="BH93" i="22"/>
  <c r="BF93" i="22"/>
  <c r="BE93" i="22"/>
  <c r="BD93" i="22"/>
  <c r="AW93" i="22"/>
  <c r="AV93" i="22"/>
  <c r="AU93" i="22"/>
  <c r="AN93" i="22"/>
  <c r="AM93" i="22"/>
  <c r="AL93" i="22"/>
  <c r="AE93" i="22"/>
  <c r="AC93" i="22"/>
  <c r="V93" i="22"/>
  <c r="AX93" i="22" s="1"/>
  <c r="U93" i="22"/>
  <c r="BS93" i="22" s="1"/>
  <c r="BR92" i="22"/>
  <c r="BO92" i="22"/>
  <c r="BN92" i="22"/>
  <c r="BM92" i="22"/>
  <c r="BL92" i="22"/>
  <c r="BK92" i="22"/>
  <c r="BJ92" i="22"/>
  <c r="BH92" i="22"/>
  <c r="BF92" i="22"/>
  <c r="BE92" i="22"/>
  <c r="BD92" i="22"/>
  <c r="AW92" i="22"/>
  <c r="AV92" i="22"/>
  <c r="AU92" i="22"/>
  <c r="AN92" i="22"/>
  <c r="AM92" i="22"/>
  <c r="AL92" i="22"/>
  <c r="AF92" i="22"/>
  <c r="AE92" i="22"/>
  <c r="AC92" i="22"/>
  <c r="V92" i="22"/>
  <c r="BG92" i="22" s="1"/>
  <c r="U92" i="22"/>
  <c r="BS92" i="22" s="1"/>
  <c r="BT91" i="22"/>
  <c r="BR91" i="22"/>
  <c r="BO91" i="22"/>
  <c r="BN91" i="22"/>
  <c r="BM91" i="22"/>
  <c r="BL91" i="22"/>
  <c r="BK91" i="22"/>
  <c r="BJ91" i="22"/>
  <c r="BI91" i="22"/>
  <c r="BH91" i="22"/>
  <c r="BF91" i="22"/>
  <c r="BE91" i="22"/>
  <c r="BD91" i="22"/>
  <c r="AW91" i="22"/>
  <c r="AV91" i="22"/>
  <c r="AU91" i="22"/>
  <c r="AN91" i="22"/>
  <c r="AM91" i="22"/>
  <c r="AL91" i="22"/>
  <c r="AE91" i="22"/>
  <c r="AD91" i="22"/>
  <c r="AC91" i="22"/>
  <c r="V91" i="22"/>
  <c r="BG91" i="22" s="1"/>
  <c r="U91" i="22"/>
  <c r="BS91" i="22" s="1"/>
  <c r="BT90" i="22"/>
  <c r="BR90" i="22"/>
  <c r="BO90" i="22"/>
  <c r="BN90" i="22"/>
  <c r="BM90" i="22"/>
  <c r="BL90" i="22"/>
  <c r="BK90" i="22"/>
  <c r="BJ90" i="22"/>
  <c r="BI90" i="22"/>
  <c r="BH90" i="22"/>
  <c r="BF90" i="22"/>
  <c r="BE90" i="22"/>
  <c r="BD90" i="22"/>
  <c r="AW90" i="22"/>
  <c r="AV90" i="22"/>
  <c r="AU90" i="22"/>
  <c r="AN90" i="22"/>
  <c r="AM90" i="22"/>
  <c r="AL90" i="22"/>
  <c r="AE90" i="22"/>
  <c r="AD90" i="22"/>
  <c r="AC90" i="22"/>
  <c r="V90" i="22"/>
  <c r="BG90" i="22" s="1"/>
  <c r="U90" i="22"/>
  <c r="BS90" i="22" s="1"/>
  <c r="BT89" i="22"/>
  <c r="BR89" i="22"/>
  <c r="BO89" i="22"/>
  <c r="BN89" i="22"/>
  <c r="BM89" i="22"/>
  <c r="BL89" i="22"/>
  <c r="BK89" i="22"/>
  <c r="BJ89" i="22"/>
  <c r="BI89" i="22"/>
  <c r="BH89" i="22"/>
  <c r="BF89" i="22"/>
  <c r="BE89" i="22"/>
  <c r="BD89" i="22"/>
  <c r="AW89" i="22"/>
  <c r="AV89" i="22"/>
  <c r="AU89" i="22"/>
  <c r="AN89" i="22"/>
  <c r="AM89" i="22"/>
  <c r="AL89" i="22"/>
  <c r="AE89" i="22"/>
  <c r="AD89" i="22"/>
  <c r="AC89" i="22"/>
  <c r="V89" i="22"/>
  <c r="U89" i="22"/>
  <c r="BS89" i="22" s="1"/>
  <c r="BT88" i="22"/>
  <c r="BR88" i="22"/>
  <c r="BF88" i="22"/>
  <c r="BE88" i="22"/>
  <c r="BD88" i="22"/>
  <c r="AW88" i="22"/>
  <c r="AV88" i="22"/>
  <c r="AU88" i="22"/>
  <c r="AN88" i="22"/>
  <c r="AM88" i="22"/>
  <c r="AL88" i="22"/>
  <c r="AE88" i="22"/>
  <c r="AD88" i="22"/>
  <c r="AC88" i="22"/>
  <c r="V88" i="22"/>
  <c r="AX88" i="22" s="1"/>
  <c r="U88" i="22"/>
  <c r="BS88" i="22" s="1"/>
  <c r="BT87" i="22"/>
  <c r="BR87" i="22"/>
  <c r="BO87" i="22"/>
  <c r="BN87" i="22"/>
  <c r="BM87" i="22"/>
  <c r="BL87" i="22"/>
  <c r="BK87" i="22"/>
  <c r="BJ87" i="22"/>
  <c r="BI87" i="22"/>
  <c r="BH87" i="22"/>
  <c r="BF87" i="22"/>
  <c r="BE87" i="22"/>
  <c r="BD87" i="22"/>
  <c r="AW87" i="22"/>
  <c r="AV87" i="22"/>
  <c r="AU87" i="22"/>
  <c r="AN87" i="22"/>
  <c r="AM87" i="22"/>
  <c r="AL87" i="22"/>
  <c r="AE87" i="22"/>
  <c r="AD87" i="22"/>
  <c r="AC87" i="22"/>
  <c r="V87" i="22"/>
  <c r="BG87" i="22" s="1"/>
  <c r="U87" i="22"/>
  <c r="BS87" i="22" s="1"/>
  <c r="BT86" i="22"/>
  <c r="BR86" i="22"/>
  <c r="BO86" i="22"/>
  <c r="BN86" i="22"/>
  <c r="BM86" i="22"/>
  <c r="BL86" i="22"/>
  <c r="BK86" i="22"/>
  <c r="BJ86" i="22"/>
  <c r="BI86" i="22"/>
  <c r="BH86" i="22"/>
  <c r="BF86" i="22"/>
  <c r="BE86" i="22"/>
  <c r="BD86" i="22"/>
  <c r="AW86" i="22"/>
  <c r="AV86" i="22"/>
  <c r="AU86" i="22"/>
  <c r="AN86" i="22"/>
  <c r="AM86" i="22"/>
  <c r="AL86" i="22"/>
  <c r="AE86" i="22"/>
  <c r="AD86" i="22"/>
  <c r="AC86" i="22"/>
  <c r="V86" i="22"/>
  <c r="AX86" i="22" s="1"/>
  <c r="U86" i="22"/>
  <c r="BS86" i="22" s="1"/>
  <c r="BT85" i="22"/>
  <c r="BR85" i="22"/>
  <c r="BO85" i="22"/>
  <c r="BN85" i="22"/>
  <c r="BM85" i="22"/>
  <c r="BL85" i="22"/>
  <c r="BK85" i="22"/>
  <c r="BJ85" i="22"/>
  <c r="BI85" i="22"/>
  <c r="BH85" i="22"/>
  <c r="BF85" i="22"/>
  <c r="BE85" i="22"/>
  <c r="BD85" i="22"/>
  <c r="AW85" i="22"/>
  <c r="AV85" i="22"/>
  <c r="AU85" i="22"/>
  <c r="AN85" i="22"/>
  <c r="AM85" i="22"/>
  <c r="AL85" i="22"/>
  <c r="AE85" i="22"/>
  <c r="AD85" i="22"/>
  <c r="AC85" i="22"/>
  <c r="V85" i="22"/>
  <c r="BG85" i="22" s="1"/>
  <c r="U85" i="22"/>
  <c r="BS85" i="22" s="1"/>
  <c r="BT84" i="22"/>
  <c r="BR84" i="22"/>
  <c r="BO84" i="22"/>
  <c r="BN84" i="22"/>
  <c r="BM84" i="22"/>
  <c r="BL84" i="22"/>
  <c r="BK84" i="22"/>
  <c r="BJ84" i="22"/>
  <c r="BI84" i="22"/>
  <c r="BH84" i="22"/>
  <c r="BF84" i="22"/>
  <c r="BE84" i="22"/>
  <c r="BD84" i="22"/>
  <c r="AX84" i="22"/>
  <c r="AW84" i="22"/>
  <c r="AV84" i="22"/>
  <c r="AU84" i="22"/>
  <c r="AN84" i="22"/>
  <c r="AM84" i="22"/>
  <c r="AL84" i="22"/>
  <c r="AF84" i="22"/>
  <c r="AE84" i="22"/>
  <c r="AD84" i="22"/>
  <c r="AC84" i="22"/>
  <c r="V84" i="22"/>
  <c r="BG84" i="22" s="1"/>
  <c r="U84" i="22"/>
  <c r="BS84" i="22" s="1"/>
  <c r="BT83" i="22"/>
  <c r="BR83" i="22"/>
  <c r="BO83" i="22"/>
  <c r="BN83" i="22"/>
  <c r="BM83" i="22"/>
  <c r="BL83" i="22"/>
  <c r="BK83" i="22"/>
  <c r="BJ83" i="22"/>
  <c r="BI83" i="22"/>
  <c r="BH83" i="22"/>
  <c r="BF83" i="22"/>
  <c r="BE83" i="22"/>
  <c r="BD83" i="22"/>
  <c r="AW83" i="22"/>
  <c r="AV83" i="22"/>
  <c r="AU83" i="22"/>
  <c r="AN83" i="22"/>
  <c r="AM83" i="22"/>
  <c r="AL83" i="22"/>
  <c r="AE83" i="22"/>
  <c r="AD83" i="22"/>
  <c r="AC83" i="22"/>
  <c r="V83" i="22"/>
  <c r="BG83" i="22" s="1"/>
  <c r="U83" i="22"/>
  <c r="BS83" i="22" s="1"/>
  <c r="BR82" i="22"/>
  <c r="BN82" i="22"/>
  <c r="BL82" i="22"/>
  <c r="BJ82" i="22"/>
  <c r="BH82" i="22"/>
  <c r="BF82" i="22"/>
  <c r="BD82" i="22"/>
  <c r="AW82" i="22"/>
  <c r="AU82" i="22"/>
  <c r="AO82" i="22"/>
  <c r="AN82" i="22"/>
  <c r="AL82" i="22"/>
  <c r="AE82" i="22"/>
  <c r="AC82" i="22"/>
  <c r="V82" i="22"/>
  <c r="BG82" i="22" s="1"/>
  <c r="U82" i="22"/>
  <c r="BS82" i="22" s="1"/>
  <c r="BT81" i="22"/>
  <c r="BR81" i="22"/>
  <c r="BO81" i="22"/>
  <c r="BN81" i="22"/>
  <c r="BM81" i="22"/>
  <c r="BL81" i="22"/>
  <c r="BK81" i="22"/>
  <c r="BJ81" i="22"/>
  <c r="BI81" i="22"/>
  <c r="BH81" i="22"/>
  <c r="BF81" i="22"/>
  <c r="BE81" i="22"/>
  <c r="BD81" i="22"/>
  <c r="AW81" i="22"/>
  <c r="AV81" i="22"/>
  <c r="AU81" i="22"/>
  <c r="AN81" i="22"/>
  <c r="AM81" i="22"/>
  <c r="AL81" i="22"/>
  <c r="AE81" i="22"/>
  <c r="AD81" i="22"/>
  <c r="AC81" i="22"/>
  <c r="V81" i="22"/>
  <c r="BG81" i="22" s="1"/>
  <c r="U81" i="22"/>
  <c r="BS81" i="22" s="1"/>
  <c r="BT80" i="22"/>
  <c r="BR80" i="22"/>
  <c r="BO80" i="22"/>
  <c r="BN80" i="22"/>
  <c r="BM80" i="22"/>
  <c r="BL80" i="22"/>
  <c r="BK80" i="22"/>
  <c r="BJ80" i="22"/>
  <c r="BI80" i="22"/>
  <c r="BH80" i="22"/>
  <c r="BF80" i="22"/>
  <c r="BE80" i="22"/>
  <c r="BD80" i="22"/>
  <c r="AW80" i="22"/>
  <c r="AV80" i="22"/>
  <c r="AU80" i="22"/>
  <c r="AN80" i="22"/>
  <c r="AM80" i="22"/>
  <c r="AL80" i="22"/>
  <c r="AE80" i="22"/>
  <c r="AD80" i="22"/>
  <c r="AC80" i="22"/>
  <c r="V80" i="22"/>
  <c r="BG80" i="22" s="1"/>
  <c r="U80" i="22"/>
  <c r="BS80" i="22" s="1"/>
  <c r="BT79" i="22"/>
  <c r="BR79" i="22"/>
  <c r="BO79" i="22"/>
  <c r="BN79" i="22"/>
  <c r="BM79" i="22"/>
  <c r="BL79" i="22"/>
  <c r="BK79" i="22"/>
  <c r="BJ79" i="22"/>
  <c r="BI79" i="22"/>
  <c r="BH79" i="22"/>
  <c r="BF79" i="22"/>
  <c r="BE79" i="22"/>
  <c r="BD79" i="22"/>
  <c r="AW79" i="22"/>
  <c r="AV79" i="22"/>
  <c r="AU79" i="22"/>
  <c r="AN79" i="22"/>
  <c r="AM79" i="22"/>
  <c r="AL79" i="22"/>
  <c r="AE79" i="22"/>
  <c r="AD79" i="22"/>
  <c r="AC79" i="22"/>
  <c r="V79" i="22"/>
  <c r="BG79" i="22" s="1"/>
  <c r="U79" i="22"/>
  <c r="BS79" i="22" s="1"/>
  <c r="BT78" i="22"/>
  <c r="BR78" i="22"/>
  <c r="BO78" i="22"/>
  <c r="BN78" i="22"/>
  <c r="BM78" i="22"/>
  <c r="BL78" i="22"/>
  <c r="BK78" i="22"/>
  <c r="BJ78" i="22"/>
  <c r="BI78" i="22"/>
  <c r="BH78" i="22"/>
  <c r="BF78" i="22"/>
  <c r="BE78" i="22"/>
  <c r="BD78" i="22"/>
  <c r="AW78" i="22"/>
  <c r="AV78" i="22"/>
  <c r="AU78" i="22"/>
  <c r="AN78" i="22"/>
  <c r="AM78" i="22"/>
  <c r="AL78" i="22"/>
  <c r="AE78" i="22"/>
  <c r="AD78" i="22"/>
  <c r="AC78" i="22"/>
  <c r="V78" i="22"/>
  <c r="BG78" i="22" s="1"/>
  <c r="U78" i="22"/>
  <c r="BS78" i="22" s="1"/>
  <c r="BT77" i="22"/>
  <c r="BR77" i="22"/>
  <c r="BO77" i="22"/>
  <c r="BN77" i="22"/>
  <c r="BM77" i="22"/>
  <c r="BL77" i="22"/>
  <c r="BK77" i="22"/>
  <c r="BJ77" i="22"/>
  <c r="BI77" i="22"/>
  <c r="BH77" i="22"/>
  <c r="BF77" i="22"/>
  <c r="BE77" i="22"/>
  <c r="BD77" i="22"/>
  <c r="AW77" i="22"/>
  <c r="AV77" i="22"/>
  <c r="AU77" i="22"/>
  <c r="AN77" i="22"/>
  <c r="AM77" i="22"/>
  <c r="AL77" i="22"/>
  <c r="AE77" i="22"/>
  <c r="AD77" i="22"/>
  <c r="AC77" i="22"/>
  <c r="V77" i="22"/>
  <c r="AO77" i="22" s="1"/>
  <c r="U77" i="22"/>
  <c r="BS77" i="22" s="1"/>
  <c r="BT76" i="22"/>
  <c r="BR76" i="22"/>
  <c r="BO76" i="22"/>
  <c r="BN76" i="22"/>
  <c r="BM76" i="22"/>
  <c r="BL76" i="22"/>
  <c r="BK76" i="22"/>
  <c r="BJ76" i="22"/>
  <c r="BI76" i="22"/>
  <c r="BH76" i="22"/>
  <c r="BF76" i="22"/>
  <c r="BE76" i="22"/>
  <c r="BD76" i="22"/>
  <c r="AW76" i="22"/>
  <c r="AV76" i="22"/>
  <c r="AU76" i="22"/>
  <c r="AN76" i="22"/>
  <c r="AM76" i="22"/>
  <c r="AL76" i="22"/>
  <c r="AE76" i="22"/>
  <c r="AD76" i="22"/>
  <c r="AC76" i="22"/>
  <c r="V76" i="22"/>
  <c r="AX76" i="22" s="1"/>
  <c r="U76" i="22"/>
  <c r="BS76" i="22" s="1"/>
  <c r="BT75" i="22"/>
  <c r="BR75" i="22"/>
  <c r="BO75" i="22"/>
  <c r="BN75" i="22"/>
  <c r="BM75" i="22"/>
  <c r="BL75" i="22"/>
  <c r="BK75" i="22"/>
  <c r="BJ75" i="22"/>
  <c r="BI75" i="22"/>
  <c r="BH75" i="22"/>
  <c r="BF75" i="22"/>
  <c r="BE75" i="22"/>
  <c r="BD75" i="22"/>
  <c r="AW75" i="22"/>
  <c r="AV75" i="22"/>
  <c r="AU75" i="22"/>
  <c r="AN75" i="22"/>
  <c r="AM75" i="22"/>
  <c r="AL75" i="22"/>
  <c r="AE75" i="22"/>
  <c r="AD75" i="22"/>
  <c r="AC75" i="22"/>
  <c r="V75" i="22"/>
  <c r="BG75" i="22" s="1"/>
  <c r="U75" i="22"/>
  <c r="BS75" i="22" s="1"/>
  <c r="BT74" i="22"/>
  <c r="BR74" i="22"/>
  <c r="BO74" i="22"/>
  <c r="BN74" i="22"/>
  <c r="BM74" i="22"/>
  <c r="BL74" i="22"/>
  <c r="BK74" i="22"/>
  <c r="BJ74" i="22"/>
  <c r="BI74" i="22"/>
  <c r="BH74" i="22"/>
  <c r="BF74" i="22"/>
  <c r="BE74" i="22"/>
  <c r="BD74" i="22"/>
  <c r="AW74" i="22"/>
  <c r="AV74" i="22"/>
  <c r="AU74" i="22"/>
  <c r="AN74" i="22"/>
  <c r="AM74" i="22"/>
  <c r="AL74" i="22"/>
  <c r="AE74" i="22"/>
  <c r="AD74" i="22"/>
  <c r="AC74" i="22"/>
  <c r="V74" i="22"/>
  <c r="AX74" i="22" s="1"/>
  <c r="U74" i="22"/>
  <c r="BS74" i="22" s="1"/>
  <c r="BR73" i="22"/>
  <c r="BO73" i="22"/>
  <c r="BN73" i="22"/>
  <c r="BM73" i="22"/>
  <c r="BL73" i="22"/>
  <c r="BK73" i="22"/>
  <c r="BJ73" i="22"/>
  <c r="BH73" i="22"/>
  <c r="BF73" i="22"/>
  <c r="BE73" i="22"/>
  <c r="BD73" i="22"/>
  <c r="AW73" i="22"/>
  <c r="AV73" i="22"/>
  <c r="AU73" i="22"/>
  <c r="AO73" i="22"/>
  <c r="AN73" i="22"/>
  <c r="AM73" i="22"/>
  <c r="AL73" i="22"/>
  <c r="AE73" i="22"/>
  <c r="AC73" i="22"/>
  <c r="Z73" i="22"/>
  <c r="BT73" i="22" s="1"/>
  <c r="V73" i="22"/>
  <c r="BG73" i="22" s="1"/>
  <c r="U73" i="22"/>
  <c r="BS73" i="22" s="1"/>
  <c r="BT72" i="22"/>
  <c r="BR72" i="22"/>
  <c r="BO72" i="22"/>
  <c r="BN72" i="22"/>
  <c r="BM72" i="22"/>
  <c r="BL72" i="22"/>
  <c r="BK72" i="22"/>
  <c r="BJ72" i="22"/>
  <c r="BI72" i="22"/>
  <c r="BH72" i="22"/>
  <c r="BF72" i="22"/>
  <c r="BE72" i="22"/>
  <c r="BD72" i="22"/>
  <c r="AW72" i="22"/>
  <c r="AV72" i="22"/>
  <c r="AU72" i="22"/>
  <c r="AN72" i="22"/>
  <c r="AM72" i="22"/>
  <c r="AL72" i="22"/>
  <c r="AE72" i="22"/>
  <c r="AD72" i="22"/>
  <c r="AC72" i="22"/>
  <c r="V72" i="22"/>
  <c r="BG72" i="22" s="1"/>
  <c r="U72" i="22"/>
  <c r="BS72" i="22" s="1"/>
  <c r="BT71" i="22"/>
  <c r="BR71" i="22"/>
  <c r="BO71" i="22"/>
  <c r="BN71" i="22"/>
  <c r="BM71" i="22"/>
  <c r="BL71" i="22"/>
  <c r="BK71" i="22"/>
  <c r="BJ71" i="22"/>
  <c r="BI71" i="22"/>
  <c r="BH71" i="22"/>
  <c r="BF71" i="22"/>
  <c r="BE71" i="22"/>
  <c r="BD71" i="22"/>
  <c r="AW71" i="22"/>
  <c r="AV71" i="22"/>
  <c r="AU71" i="22"/>
  <c r="AN71" i="22"/>
  <c r="AM71" i="22"/>
  <c r="AL71" i="22"/>
  <c r="AE71" i="22"/>
  <c r="AD71" i="22"/>
  <c r="AC71" i="22"/>
  <c r="V71" i="22"/>
  <c r="BG71" i="22" s="1"/>
  <c r="U71" i="22"/>
  <c r="BS71" i="22" s="1"/>
  <c r="BT70" i="22"/>
  <c r="BR70" i="22"/>
  <c r="BO70" i="22"/>
  <c r="BN70" i="22"/>
  <c r="BM70" i="22"/>
  <c r="BL70" i="22"/>
  <c r="BK70" i="22"/>
  <c r="BJ70" i="22"/>
  <c r="BI70" i="22"/>
  <c r="BH70" i="22"/>
  <c r="BF70" i="22"/>
  <c r="BE70" i="22"/>
  <c r="BD70" i="22"/>
  <c r="AW70" i="22"/>
  <c r="AV70" i="22"/>
  <c r="AU70" i="22"/>
  <c r="AN70" i="22"/>
  <c r="AM70" i="22"/>
  <c r="AL70" i="22"/>
  <c r="AE70" i="22"/>
  <c r="AD70" i="22"/>
  <c r="AC70" i="22"/>
  <c r="V70" i="22"/>
  <c r="BG70" i="22" s="1"/>
  <c r="U70" i="22"/>
  <c r="BS70" i="22" s="1"/>
  <c r="BT69" i="22"/>
  <c r="BR69" i="22"/>
  <c r="BO69" i="22"/>
  <c r="BN69" i="22"/>
  <c r="BM69" i="22"/>
  <c r="BL69" i="22"/>
  <c r="BK69" i="22"/>
  <c r="BJ69" i="22"/>
  <c r="BI69" i="22"/>
  <c r="BH69" i="22"/>
  <c r="BF69" i="22"/>
  <c r="BE69" i="22"/>
  <c r="BD69" i="22"/>
  <c r="AW69" i="22"/>
  <c r="AV69" i="22"/>
  <c r="AU69" i="22"/>
  <c r="AN69" i="22"/>
  <c r="AM69" i="22"/>
  <c r="AL69" i="22"/>
  <c r="AE69" i="22"/>
  <c r="AD69" i="22"/>
  <c r="AC69" i="22"/>
  <c r="V69" i="22"/>
  <c r="BG69" i="22" s="1"/>
  <c r="U69" i="22"/>
  <c r="BS69" i="22" s="1"/>
  <c r="BR68" i="22"/>
  <c r="BO68" i="22"/>
  <c r="BN68" i="22"/>
  <c r="BM68" i="22"/>
  <c r="BL68" i="22"/>
  <c r="BK68" i="22"/>
  <c r="BJ68" i="22"/>
  <c r="BH68" i="22"/>
  <c r="BF68" i="22"/>
  <c r="BE68" i="22"/>
  <c r="BD68" i="22"/>
  <c r="AW68" i="22"/>
  <c r="AV68" i="22"/>
  <c r="AU68" i="22"/>
  <c r="AN68" i="22"/>
  <c r="AM68" i="22"/>
  <c r="AL68" i="22"/>
  <c r="AE68" i="22"/>
  <c r="AC68" i="22"/>
  <c r="V68" i="22"/>
  <c r="BG68" i="22" s="1"/>
  <c r="U68" i="22"/>
  <c r="BS68" i="22" s="1"/>
  <c r="BR67" i="22"/>
  <c r="BO67" i="22"/>
  <c r="BN67" i="22"/>
  <c r="BM67" i="22"/>
  <c r="BL67" i="22"/>
  <c r="BK67" i="22"/>
  <c r="BJ67" i="22"/>
  <c r="BH67" i="22"/>
  <c r="BF67" i="22"/>
  <c r="BE67" i="22"/>
  <c r="BD67" i="22"/>
  <c r="AW67" i="22"/>
  <c r="AV67" i="22"/>
  <c r="AU67" i="22"/>
  <c r="AN67" i="22"/>
  <c r="AM67" i="22"/>
  <c r="AL67" i="22"/>
  <c r="AE67" i="22"/>
  <c r="AC67" i="22"/>
  <c r="Z67" i="22"/>
  <c r="BT67" i="22" s="1"/>
  <c r="V67" i="22"/>
  <c r="AX67" i="22" s="1"/>
  <c r="U67" i="22"/>
  <c r="BS67" i="22" s="1"/>
  <c r="BT66" i="22"/>
  <c r="BR66" i="22"/>
  <c r="BO66" i="22"/>
  <c r="BN66" i="22"/>
  <c r="BM66" i="22"/>
  <c r="BL66" i="22"/>
  <c r="BK66" i="22"/>
  <c r="BJ66" i="22"/>
  <c r="BI66" i="22"/>
  <c r="BH66" i="22"/>
  <c r="BF66" i="22"/>
  <c r="BE66" i="22"/>
  <c r="BD66" i="22"/>
  <c r="AW66" i="22"/>
  <c r="AV66" i="22"/>
  <c r="AU66" i="22"/>
  <c r="AN66" i="22"/>
  <c r="AM66" i="22"/>
  <c r="AL66" i="22"/>
  <c r="AE66" i="22"/>
  <c r="AD66" i="22"/>
  <c r="AC66" i="22"/>
  <c r="V66" i="22"/>
  <c r="BG66" i="22" s="1"/>
  <c r="U66" i="22"/>
  <c r="BS66" i="22" s="1"/>
  <c r="BT65" i="22"/>
  <c r="BR65" i="22"/>
  <c r="BO65" i="22"/>
  <c r="BN65" i="22"/>
  <c r="BM65" i="22"/>
  <c r="BL65" i="22"/>
  <c r="BK65" i="22"/>
  <c r="BJ65" i="22"/>
  <c r="BI65" i="22"/>
  <c r="BH65" i="22"/>
  <c r="BF65" i="22"/>
  <c r="BE65" i="22"/>
  <c r="BD65" i="22"/>
  <c r="AW65" i="22"/>
  <c r="AV65" i="22"/>
  <c r="AU65" i="22"/>
  <c r="AN65" i="22"/>
  <c r="AM65" i="22"/>
  <c r="AL65" i="22"/>
  <c r="AE65" i="22"/>
  <c r="AD65" i="22"/>
  <c r="AC65" i="22"/>
  <c r="V65" i="22"/>
  <c r="AX65" i="22" s="1"/>
  <c r="U65" i="22"/>
  <c r="BS65" i="22" s="1"/>
  <c r="BT64" i="22"/>
  <c r="BR64" i="22"/>
  <c r="BO64" i="22"/>
  <c r="BN64" i="22"/>
  <c r="BM64" i="22"/>
  <c r="BL64" i="22"/>
  <c r="BK64" i="22"/>
  <c r="BJ64" i="22"/>
  <c r="BI64" i="22"/>
  <c r="BH64" i="22"/>
  <c r="BF64" i="22"/>
  <c r="BE64" i="22"/>
  <c r="BD64" i="22"/>
  <c r="AX64" i="22"/>
  <c r="AW64" i="22"/>
  <c r="AV64" i="22"/>
  <c r="AU64" i="22"/>
  <c r="AN64" i="22"/>
  <c r="AM64" i="22"/>
  <c r="AL64" i="22"/>
  <c r="AE64" i="22"/>
  <c r="AD64" i="22"/>
  <c r="AC64" i="22"/>
  <c r="V64" i="22"/>
  <c r="BG64" i="22" s="1"/>
  <c r="U64" i="22"/>
  <c r="BS64" i="22" s="1"/>
  <c r="BT63" i="22"/>
  <c r="BR63" i="22"/>
  <c r="BO63" i="22"/>
  <c r="BN63" i="22"/>
  <c r="BM63" i="22"/>
  <c r="BL63" i="22"/>
  <c r="BK63" i="22"/>
  <c r="BJ63" i="22"/>
  <c r="BI63" i="22"/>
  <c r="BH63" i="22"/>
  <c r="BF63" i="22"/>
  <c r="BE63" i="22"/>
  <c r="BD63" i="22"/>
  <c r="AW63" i="22"/>
  <c r="AV63" i="22"/>
  <c r="AU63" i="22"/>
  <c r="AN63" i="22"/>
  <c r="AM63" i="22"/>
  <c r="AL63" i="22"/>
  <c r="AE63" i="22"/>
  <c r="AD63" i="22"/>
  <c r="AC63" i="22"/>
  <c r="V63" i="22"/>
  <c r="BG63" i="22" s="1"/>
  <c r="U63" i="22"/>
  <c r="BS63" i="22" s="1"/>
  <c r="BT62" i="22"/>
  <c r="BR62" i="22"/>
  <c r="BO62" i="22"/>
  <c r="BN62" i="22"/>
  <c r="BM62" i="22"/>
  <c r="BL62" i="22"/>
  <c r="BK62" i="22"/>
  <c r="BJ62" i="22"/>
  <c r="BI62" i="22"/>
  <c r="BH62" i="22"/>
  <c r="BF62" i="22"/>
  <c r="BE62" i="22"/>
  <c r="BD62" i="22"/>
  <c r="AW62" i="22"/>
  <c r="AV62" i="22"/>
  <c r="AU62" i="22"/>
  <c r="AN62" i="22"/>
  <c r="AM62" i="22"/>
  <c r="AL62" i="22"/>
  <c r="AE62" i="22"/>
  <c r="AD62" i="22"/>
  <c r="AC62" i="22"/>
  <c r="V62" i="22"/>
  <c r="AX62" i="22" s="1"/>
  <c r="U62" i="22"/>
  <c r="BS62" i="22" s="1"/>
  <c r="BT61" i="22"/>
  <c r="BR61" i="22"/>
  <c r="BO61" i="22"/>
  <c r="BN61" i="22"/>
  <c r="BM61" i="22"/>
  <c r="BL61" i="22"/>
  <c r="BK61" i="22"/>
  <c r="BJ61" i="22"/>
  <c r="BI61" i="22"/>
  <c r="BH61" i="22"/>
  <c r="BF61" i="22"/>
  <c r="BE61" i="22"/>
  <c r="BD61" i="22"/>
  <c r="AW61" i="22"/>
  <c r="AV61" i="22"/>
  <c r="AU61" i="22"/>
  <c r="AN61" i="22"/>
  <c r="AM61" i="22"/>
  <c r="AL61" i="22"/>
  <c r="AE61" i="22"/>
  <c r="AD61" i="22"/>
  <c r="AC61" i="22"/>
  <c r="V61" i="22"/>
  <c r="BG61" i="22" s="1"/>
  <c r="U61" i="22"/>
  <c r="BS61" i="22" s="1"/>
  <c r="BT60" i="22"/>
  <c r="BR60" i="22"/>
  <c r="BO60" i="22"/>
  <c r="BN60" i="22"/>
  <c r="BM60" i="22"/>
  <c r="BL60" i="22"/>
  <c r="BK60" i="22"/>
  <c r="BJ60" i="22"/>
  <c r="BI60" i="22"/>
  <c r="BH60" i="22"/>
  <c r="BF60" i="22"/>
  <c r="BE60" i="22"/>
  <c r="BD60" i="22"/>
  <c r="AW60" i="22"/>
  <c r="AV60" i="22"/>
  <c r="AU60" i="22"/>
  <c r="AN60" i="22"/>
  <c r="AM60" i="22"/>
  <c r="AL60" i="22"/>
  <c r="AE60" i="22"/>
  <c r="AD60" i="22"/>
  <c r="AC60" i="22"/>
  <c r="V60" i="22"/>
  <c r="BG60" i="22" s="1"/>
  <c r="U60" i="22"/>
  <c r="BS60" i="22" s="1"/>
  <c r="BT59" i="22"/>
  <c r="BR59" i="22"/>
  <c r="BO59" i="22"/>
  <c r="BN59" i="22"/>
  <c r="BM59" i="22"/>
  <c r="BL59" i="22"/>
  <c r="BK59" i="22"/>
  <c r="BJ59" i="22"/>
  <c r="BI59" i="22"/>
  <c r="BH59" i="22"/>
  <c r="BF59" i="22"/>
  <c r="BE59" i="22"/>
  <c r="BD59" i="22"/>
  <c r="AW59" i="22"/>
  <c r="AV59" i="22"/>
  <c r="AU59" i="22"/>
  <c r="AN59" i="22"/>
  <c r="AM59" i="22"/>
  <c r="AL59" i="22"/>
  <c r="AE59" i="22"/>
  <c r="AD59" i="22"/>
  <c r="AC59" i="22"/>
  <c r="V59" i="22"/>
  <c r="AX59" i="22" s="1"/>
  <c r="U59" i="22"/>
  <c r="BS59" i="22" s="1"/>
  <c r="BT58" i="22"/>
  <c r="BR58" i="22"/>
  <c r="BO58" i="22"/>
  <c r="BN58" i="22"/>
  <c r="BM58" i="22"/>
  <c r="BL58" i="22"/>
  <c r="BK58" i="22"/>
  <c r="BJ58" i="22"/>
  <c r="BI58" i="22"/>
  <c r="BH58" i="22"/>
  <c r="BF58" i="22"/>
  <c r="BE58" i="22"/>
  <c r="BD58" i="22"/>
  <c r="AW58" i="22"/>
  <c r="AV58" i="22"/>
  <c r="AU58" i="22"/>
  <c r="AN58" i="22"/>
  <c r="AM58" i="22"/>
  <c r="AL58" i="22"/>
  <c r="AE58" i="22"/>
  <c r="AD58" i="22"/>
  <c r="AC58" i="22"/>
  <c r="V58" i="22"/>
  <c r="BG58" i="22" s="1"/>
  <c r="U58" i="22"/>
  <c r="BS58" i="22" s="1"/>
  <c r="BT57" i="22"/>
  <c r="BR57" i="22"/>
  <c r="BO57" i="22"/>
  <c r="BN57" i="22"/>
  <c r="BM57" i="22"/>
  <c r="BL57" i="22"/>
  <c r="BK57" i="22"/>
  <c r="BJ57" i="22"/>
  <c r="BI57" i="22"/>
  <c r="BH57" i="22"/>
  <c r="BF57" i="22"/>
  <c r="BE57" i="22"/>
  <c r="BD57" i="22"/>
  <c r="AW57" i="22"/>
  <c r="AV57" i="22"/>
  <c r="AU57" i="22"/>
  <c r="AN57" i="22"/>
  <c r="AM57" i="22"/>
  <c r="AL57" i="22"/>
  <c r="AE57" i="22"/>
  <c r="AD57" i="22"/>
  <c r="AC57" i="22"/>
  <c r="V57" i="22"/>
  <c r="BG57" i="22" s="1"/>
  <c r="U57" i="22"/>
  <c r="BS57" i="22" s="1"/>
  <c r="BT56" i="22"/>
  <c r="BR56" i="22"/>
  <c r="BO56" i="22"/>
  <c r="BN56" i="22"/>
  <c r="BM56" i="22"/>
  <c r="BL56" i="22"/>
  <c r="BK56" i="22"/>
  <c r="BJ56" i="22"/>
  <c r="BI56" i="22"/>
  <c r="BH56" i="22"/>
  <c r="BF56" i="22"/>
  <c r="BE56" i="22"/>
  <c r="BD56" i="22"/>
  <c r="AW56" i="22"/>
  <c r="AV56" i="22"/>
  <c r="AU56" i="22"/>
  <c r="AN56" i="22"/>
  <c r="AM56" i="22"/>
  <c r="AL56" i="22"/>
  <c r="AE56" i="22"/>
  <c r="AD56" i="22"/>
  <c r="AC56" i="22"/>
  <c r="V56" i="22"/>
  <c r="BG56" i="22" s="1"/>
  <c r="U56" i="22"/>
  <c r="BS56" i="22" s="1"/>
  <c r="BT55" i="22"/>
  <c r="BR55" i="22"/>
  <c r="BO55" i="22"/>
  <c r="BN55" i="22"/>
  <c r="BM55" i="22"/>
  <c r="BL55" i="22"/>
  <c r="BK55" i="22"/>
  <c r="BJ55" i="22"/>
  <c r="BI55" i="22"/>
  <c r="BH55" i="22"/>
  <c r="BF55" i="22"/>
  <c r="BE55" i="22"/>
  <c r="BD55" i="22"/>
  <c r="AX55" i="22"/>
  <c r="AW55" i="22"/>
  <c r="AV55" i="22"/>
  <c r="AU55" i="22"/>
  <c r="AN55" i="22"/>
  <c r="AM55" i="22"/>
  <c r="AL55" i="22"/>
  <c r="AF55" i="22"/>
  <c r="AE55" i="22"/>
  <c r="AD55" i="22"/>
  <c r="AC55" i="22"/>
  <c r="V55" i="22"/>
  <c r="BG55" i="22" s="1"/>
  <c r="U55" i="22"/>
  <c r="BS55" i="22" s="1"/>
  <c r="BT54" i="22"/>
  <c r="BR54" i="22"/>
  <c r="BO54" i="22"/>
  <c r="BN54" i="22"/>
  <c r="BM54" i="22"/>
  <c r="BL54" i="22"/>
  <c r="BK54" i="22"/>
  <c r="BJ54" i="22"/>
  <c r="BI54" i="22"/>
  <c r="BH54" i="22"/>
  <c r="BF54" i="22"/>
  <c r="BE54" i="22"/>
  <c r="BD54" i="22"/>
  <c r="AW54" i="22"/>
  <c r="AV54" i="22"/>
  <c r="AU54" i="22"/>
  <c r="AN54" i="22"/>
  <c r="AM54" i="22"/>
  <c r="AL54" i="22"/>
  <c r="AE54" i="22"/>
  <c r="AD54" i="22"/>
  <c r="AC54" i="22"/>
  <c r="V54" i="22"/>
  <c r="AX54" i="22" s="1"/>
  <c r="U54" i="22"/>
  <c r="BS54" i="22" s="1"/>
  <c r="BT53" i="22"/>
  <c r="BR53" i="22"/>
  <c r="BO53" i="22"/>
  <c r="BN53" i="22"/>
  <c r="BM53" i="22"/>
  <c r="BL53" i="22"/>
  <c r="BK53" i="22"/>
  <c r="BJ53" i="22"/>
  <c r="BI53" i="22"/>
  <c r="BH53" i="22"/>
  <c r="BF53" i="22"/>
  <c r="BE53" i="22"/>
  <c r="BD53" i="22"/>
  <c r="AW53" i="22"/>
  <c r="AV53" i="22"/>
  <c r="AU53" i="22"/>
  <c r="AN53" i="22"/>
  <c r="AM53" i="22"/>
  <c r="AL53" i="22"/>
  <c r="AE53" i="22"/>
  <c r="AD53" i="22"/>
  <c r="AC53" i="22"/>
  <c r="V53" i="22"/>
  <c r="BG53" i="22" s="1"/>
  <c r="U53" i="22"/>
  <c r="BS53" i="22" s="1"/>
  <c r="BT52" i="22"/>
  <c r="BR52" i="22"/>
  <c r="BO52" i="22"/>
  <c r="BN52" i="22"/>
  <c r="BM52" i="22"/>
  <c r="BL52" i="22"/>
  <c r="BK52" i="22"/>
  <c r="BJ52" i="22"/>
  <c r="BI52" i="22"/>
  <c r="BH52" i="22"/>
  <c r="BG52" i="22"/>
  <c r="BF52" i="22"/>
  <c r="BE52" i="22"/>
  <c r="BD52" i="22"/>
  <c r="AW52" i="22"/>
  <c r="AV52" i="22"/>
  <c r="AU52" i="22"/>
  <c r="AO52" i="22"/>
  <c r="AN52" i="22"/>
  <c r="AM52" i="22"/>
  <c r="AL52" i="22"/>
  <c r="AE52" i="22"/>
  <c r="AD52" i="22"/>
  <c r="AC52" i="22"/>
  <c r="V52" i="22"/>
  <c r="U52" i="22"/>
  <c r="BS52" i="22" s="1"/>
  <c r="BT51" i="22"/>
  <c r="BR51" i="22"/>
  <c r="BO51" i="22"/>
  <c r="BN51" i="22"/>
  <c r="BM51" i="22"/>
  <c r="BL51" i="22"/>
  <c r="BK51" i="22"/>
  <c r="BJ51" i="22"/>
  <c r="BI51" i="22"/>
  <c r="BH51" i="22"/>
  <c r="BF51" i="22"/>
  <c r="BE51" i="22"/>
  <c r="BD51" i="22"/>
  <c r="AW51" i="22"/>
  <c r="AV51" i="22"/>
  <c r="AU51" i="22"/>
  <c r="AN51" i="22"/>
  <c r="AM51" i="22"/>
  <c r="AL51" i="22"/>
  <c r="AE51" i="22"/>
  <c r="AD51" i="22"/>
  <c r="AC51" i="22"/>
  <c r="V51" i="22"/>
  <c r="BG51" i="22" s="1"/>
  <c r="U51" i="22"/>
  <c r="BS51" i="22" s="1"/>
  <c r="BT50" i="22"/>
  <c r="BR50" i="22"/>
  <c r="BO50" i="22"/>
  <c r="BN50" i="22"/>
  <c r="BM50" i="22"/>
  <c r="BL50" i="22"/>
  <c r="BK50" i="22"/>
  <c r="BJ50" i="22"/>
  <c r="BI50" i="22"/>
  <c r="BH50" i="22"/>
  <c r="BF50" i="22"/>
  <c r="BE50" i="22"/>
  <c r="BD50" i="22"/>
  <c r="AW50" i="22"/>
  <c r="AV50" i="22"/>
  <c r="AU50" i="22"/>
  <c r="AN50" i="22"/>
  <c r="AM50" i="22"/>
  <c r="AL50" i="22"/>
  <c r="AE50" i="22"/>
  <c r="AD50" i="22"/>
  <c r="AC50" i="22"/>
  <c r="V50" i="22"/>
  <c r="BG50" i="22" s="1"/>
  <c r="U50" i="22"/>
  <c r="BS50" i="22" s="1"/>
  <c r="BT49" i="22"/>
  <c r="BR49" i="22"/>
  <c r="BO49" i="22"/>
  <c r="BN49" i="22"/>
  <c r="BM49" i="22"/>
  <c r="BL49" i="22"/>
  <c r="BK49" i="22"/>
  <c r="BJ49" i="22"/>
  <c r="BI49" i="22"/>
  <c r="BH49" i="22"/>
  <c r="BF49" i="22"/>
  <c r="BE49" i="22"/>
  <c r="BD49" i="22"/>
  <c r="AW49" i="22"/>
  <c r="AV49" i="22"/>
  <c r="AU49" i="22"/>
  <c r="AN49" i="22"/>
  <c r="AM49" i="22"/>
  <c r="AL49" i="22"/>
  <c r="AF49" i="22"/>
  <c r="AE49" i="22"/>
  <c r="AD49" i="22"/>
  <c r="AC49" i="22"/>
  <c r="V49" i="22"/>
  <c r="BG49" i="22" s="1"/>
  <c r="U49" i="22"/>
  <c r="BS49" i="22" s="1"/>
  <c r="BT48" i="22"/>
  <c r="BR48" i="22"/>
  <c r="BO48" i="22"/>
  <c r="BN48" i="22"/>
  <c r="BM48" i="22"/>
  <c r="BL48" i="22"/>
  <c r="BK48" i="22"/>
  <c r="BJ48" i="22"/>
  <c r="BI48" i="22"/>
  <c r="BH48" i="22"/>
  <c r="BF48" i="22"/>
  <c r="BE48" i="22"/>
  <c r="BD48" i="22"/>
  <c r="AW48" i="22"/>
  <c r="AV48" i="22"/>
  <c r="AU48" i="22"/>
  <c r="AN48" i="22"/>
  <c r="AM48" i="22"/>
  <c r="AL48" i="22"/>
  <c r="AE48" i="22"/>
  <c r="AD48" i="22"/>
  <c r="AC48" i="22"/>
  <c r="V48" i="22"/>
  <c r="BG48" i="22" s="1"/>
  <c r="U48" i="22"/>
  <c r="BS48" i="22" s="1"/>
  <c r="BT47" i="22"/>
  <c r="BR47" i="22"/>
  <c r="BO47" i="22"/>
  <c r="BN47" i="22"/>
  <c r="BM47" i="22"/>
  <c r="BL47" i="22"/>
  <c r="BK47" i="22"/>
  <c r="BJ47" i="22"/>
  <c r="BI47" i="22"/>
  <c r="BH47" i="22"/>
  <c r="BF47" i="22"/>
  <c r="BE47" i="22"/>
  <c r="BD47" i="22"/>
  <c r="AW47" i="22"/>
  <c r="AV47" i="22"/>
  <c r="AU47" i="22"/>
  <c r="AN47" i="22"/>
  <c r="AM47" i="22"/>
  <c r="AL47" i="22"/>
  <c r="AE47" i="22"/>
  <c r="AD47" i="22"/>
  <c r="AC47" i="22"/>
  <c r="V47" i="22"/>
  <c r="BG47" i="22" s="1"/>
  <c r="U47" i="22"/>
  <c r="BS47" i="22" s="1"/>
  <c r="BT46" i="22"/>
  <c r="BR46" i="22"/>
  <c r="BO46" i="22"/>
  <c r="BN46" i="22"/>
  <c r="BM46" i="22"/>
  <c r="BL46" i="22"/>
  <c r="BK46" i="22"/>
  <c r="BJ46" i="22"/>
  <c r="BI46" i="22"/>
  <c r="BH46" i="22"/>
  <c r="BF46" i="22"/>
  <c r="BE46" i="22"/>
  <c r="BD46" i="22"/>
  <c r="AW46" i="22"/>
  <c r="AV46" i="22"/>
  <c r="AU46" i="22"/>
  <c r="AN46" i="22"/>
  <c r="AM46" i="22"/>
  <c r="AL46" i="22"/>
  <c r="AE46" i="22"/>
  <c r="AD46" i="22"/>
  <c r="AC46" i="22"/>
  <c r="V46" i="22"/>
  <c r="AX46" i="22" s="1"/>
  <c r="U46" i="22"/>
  <c r="BS46" i="22" s="1"/>
  <c r="BT45" i="22"/>
  <c r="BR45" i="22"/>
  <c r="BO45" i="22"/>
  <c r="BN45" i="22"/>
  <c r="BM45" i="22"/>
  <c r="BL45" i="22"/>
  <c r="BK45" i="22"/>
  <c r="BJ45" i="22"/>
  <c r="BI45" i="22"/>
  <c r="BH45" i="22"/>
  <c r="BF45" i="22"/>
  <c r="BE45" i="22"/>
  <c r="BD45" i="22"/>
  <c r="AW45" i="22"/>
  <c r="AV45" i="22"/>
  <c r="AU45" i="22"/>
  <c r="AN45" i="22"/>
  <c r="AM45" i="22"/>
  <c r="AL45" i="22"/>
  <c r="AE45" i="22"/>
  <c r="AD45" i="22"/>
  <c r="AC45" i="22"/>
  <c r="V45" i="22"/>
  <c r="BG45" i="22" s="1"/>
  <c r="U45" i="22"/>
  <c r="BS45" i="22" s="1"/>
  <c r="BT44" i="22"/>
  <c r="BR44" i="22"/>
  <c r="BO44" i="22"/>
  <c r="BN44" i="22"/>
  <c r="BM44" i="22"/>
  <c r="BL44" i="22"/>
  <c r="BK44" i="22"/>
  <c r="BJ44" i="22"/>
  <c r="BI44" i="22"/>
  <c r="BH44" i="22"/>
  <c r="BF44" i="22"/>
  <c r="BE44" i="22"/>
  <c r="BD44" i="22"/>
  <c r="AW44" i="22"/>
  <c r="AV44" i="22"/>
  <c r="AU44" i="22"/>
  <c r="AN44" i="22"/>
  <c r="AM44" i="22"/>
  <c r="AL44" i="22"/>
  <c r="AE44" i="22"/>
  <c r="AD44" i="22"/>
  <c r="AC44" i="22"/>
  <c r="V44" i="22"/>
  <c r="U44" i="22"/>
  <c r="BS44" i="22" s="1"/>
  <c r="BT43" i="22"/>
  <c r="BR43" i="22"/>
  <c r="BO43" i="22"/>
  <c r="BN43" i="22"/>
  <c r="BM43" i="22"/>
  <c r="BL43" i="22"/>
  <c r="BK43" i="22"/>
  <c r="BJ43" i="22"/>
  <c r="BI43" i="22"/>
  <c r="BH43" i="22"/>
  <c r="BF43" i="22"/>
  <c r="BE43" i="22"/>
  <c r="BD43" i="22"/>
  <c r="AW43" i="22"/>
  <c r="AV43" i="22"/>
  <c r="AU43" i="22"/>
  <c r="AN43" i="22"/>
  <c r="AM43" i="22"/>
  <c r="AL43" i="22"/>
  <c r="AE43" i="22"/>
  <c r="AD43" i="22"/>
  <c r="AC43" i="22"/>
  <c r="V43" i="22"/>
  <c r="BG43" i="22" s="1"/>
  <c r="U43" i="22"/>
  <c r="BS43" i="22" s="1"/>
  <c r="BT42" i="22"/>
  <c r="BR42" i="22"/>
  <c r="BO42" i="22"/>
  <c r="BN42" i="22"/>
  <c r="BM42" i="22"/>
  <c r="BL42" i="22"/>
  <c r="BK42" i="22"/>
  <c r="BJ42" i="22"/>
  <c r="BI42" i="22"/>
  <c r="BH42" i="22"/>
  <c r="BF42" i="22"/>
  <c r="BE42" i="22"/>
  <c r="BD42" i="22"/>
  <c r="AW42" i="22"/>
  <c r="AV42" i="22"/>
  <c r="AU42" i="22"/>
  <c r="AN42" i="22"/>
  <c r="AM42" i="22"/>
  <c r="AL42" i="22"/>
  <c r="AE42" i="22"/>
  <c r="AD42" i="22"/>
  <c r="AC42" i="22"/>
  <c r="V42" i="22"/>
  <c r="BG42" i="22" s="1"/>
  <c r="U42" i="22"/>
  <c r="BS42" i="22" s="1"/>
  <c r="BT41" i="22"/>
  <c r="BR41" i="22"/>
  <c r="BO41" i="22"/>
  <c r="BN41" i="22"/>
  <c r="BM41" i="22"/>
  <c r="BL41" i="22"/>
  <c r="BK41" i="22"/>
  <c r="BJ41" i="22"/>
  <c r="BI41" i="22"/>
  <c r="BH41" i="22"/>
  <c r="BF41" i="22"/>
  <c r="BE41" i="22"/>
  <c r="BD41" i="22"/>
  <c r="AW41" i="22"/>
  <c r="AV41" i="22"/>
  <c r="AU41" i="22"/>
  <c r="AN41" i="22"/>
  <c r="AM41" i="22"/>
  <c r="AL41" i="22"/>
  <c r="AE41" i="22"/>
  <c r="AD41" i="22"/>
  <c r="AC41" i="22"/>
  <c r="V41" i="22"/>
  <c r="AX41" i="22" s="1"/>
  <c r="U41" i="22"/>
  <c r="BS41" i="22" s="1"/>
  <c r="BT40" i="22"/>
  <c r="BR40" i="22"/>
  <c r="BO40" i="22"/>
  <c r="BN40" i="22"/>
  <c r="BM40" i="22"/>
  <c r="BL40" i="22"/>
  <c r="BK40" i="22"/>
  <c r="BJ40" i="22"/>
  <c r="BI40" i="22"/>
  <c r="BH40" i="22"/>
  <c r="BF40" i="22"/>
  <c r="BE40" i="22"/>
  <c r="BD40" i="22"/>
  <c r="AW40" i="22"/>
  <c r="AV40" i="22"/>
  <c r="AU40" i="22"/>
  <c r="AN40" i="22"/>
  <c r="AM40" i="22"/>
  <c r="AL40" i="22"/>
  <c r="AE40" i="22"/>
  <c r="AD40" i="22"/>
  <c r="AC40" i="22"/>
  <c r="V40" i="22"/>
  <c r="BG40" i="22" s="1"/>
  <c r="U40" i="22"/>
  <c r="BS40" i="22" s="1"/>
  <c r="BT39" i="22"/>
  <c r="BR39" i="22"/>
  <c r="BO39" i="22"/>
  <c r="BN39" i="22"/>
  <c r="BM39" i="22"/>
  <c r="BL39" i="22"/>
  <c r="BK39" i="22"/>
  <c r="BJ39" i="22"/>
  <c r="BI39" i="22"/>
  <c r="BH39" i="22"/>
  <c r="BF39" i="22"/>
  <c r="BE39" i="22"/>
  <c r="BD39" i="22"/>
  <c r="AW39" i="22"/>
  <c r="AV39" i="22"/>
  <c r="AU39" i="22"/>
  <c r="AN39" i="22"/>
  <c r="AM39" i="22"/>
  <c r="AL39" i="22"/>
  <c r="AE39" i="22"/>
  <c r="AD39" i="22"/>
  <c r="AC39" i="22"/>
  <c r="V39" i="22"/>
  <c r="BG39" i="22" s="1"/>
  <c r="U39" i="22"/>
  <c r="BS39" i="22" s="1"/>
  <c r="BT38" i="22"/>
  <c r="BR38" i="22"/>
  <c r="BO38" i="22"/>
  <c r="BN38" i="22"/>
  <c r="BM38" i="22"/>
  <c r="BL38" i="22"/>
  <c r="BK38" i="22"/>
  <c r="BJ38" i="22"/>
  <c r="BI38" i="22"/>
  <c r="BH38" i="22"/>
  <c r="BF38" i="22"/>
  <c r="BE38" i="22"/>
  <c r="BD38" i="22"/>
  <c r="AW38" i="22"/>
  <c r="AV38" i="22"/>
  <c r="AU38" i="22"/>
  <c r="AN38" i="22"/>
  <c r="AM38" i="22"/>
  <c r="AL38" i="22"/>
  <c r="AE38" i="22"/>
  <c r="AD38" i="22"/>
  <c r="AC38" i="22"/>
  <c r="V38" i="22"/>
  <c r="AX38" i="22" s="1"/>
  <c r="U38" i="22"/>
  <c r="BS38" i="22" s="1"/>
  <c r="BT37" i="22"/>
  <c r="BR37" i="22"/>
  <c r="BO37" i="22"/>
  <c r="BN37" i="22"/>
  <c r="BM37" i="22"/>
  <c r="BL37" i="22"/>
  <c r="BK37" i="22"/>
  <c r="BJ37" i="22"/>
  <c r="BI37" i="22"/>
  <c r="BH37" i="22"/>
  <c r="BF37" i="22"/>
  <c r="BE37" i="22"/>
  <c r="BD37" i="22"/>
  <c r="AX37" i="22"/>
  <c r="AW37" i="22"/>
  <c r="AV37" i="22"/>
  <c r="AU37" i="22"/>
  <c r="AN37" i="22"/>
  <c r="AM37" i="22"/>
  <c r="AL37" i="22"/>
  <c r="AE37" i="22"/>
  <c r="AD37" i="22"/>
  <c r="AC37" i="22"/>
  <c r="V37" i="22"/>
  <c r="BG37" i="22" s="1"/>
  <c r="U37" i="22"/>
  <c r="BS37" i="22" s="1"/>
  <c r="BT36" i="22"/>
  <c r="BR36" i="22"/>
  <c r="BO36" i="22"/>
  <c r="BN36" i="22"/>
  <c r="BM36" i="22"/>
  <c r="BL36" i="22"/>
  <c r="BK36" i="22"/>
  <c r="BJ36" i="22"/>
  <c r="BI36" i="22"/>
  <c r="BH36" i="22"/>
  <c r="BF36" i="22"/>
  <c r="BE36" i="22"/>
  <c r="BD36" i="22"/>
  <c r="AW36" i="22"/>
  <c r="AV36" i="22"/>
  <c r="AU36" i="22"/>
  <c r="AN36" i="22"/>
  <c r="AM36" i="22"/>
  <c r="AL36" i="22"/>
  <c r="AE36" i="22"/>
  <c r="AD36" i="22"/>
  <c r="AC36" i="22"/>
  <c r="V36" i="22"/>
  <c r="BG36" i="22" s="1"/>
  <c r="U36" i="22"/>
  <c r="BS36" i="22" s="1"/>
  <c r="BT35" i="22"/>
  <c r="BR35" i="22"/>
  <c r="BO35" i="22"/>
  <c r="BN35" i="22"/>
  <c r="BM35" i="22"/>
  <c r="BL35" i="22"/>
  <c r="BK35" i="22"/>
  <c r="BJ35" i="22"/>
  <c r="BI35" i="22"/>
  <c r="BH35" i="22"/>
  <c r="BF35" i="22"/>
  <c r="BE35" i="22"/>
  <c r="BD35" i="22"/>
  <c r="AW35" i="22"/>
  <c r="AV35" i="22"/>
  <c r="AU35" i="22"/>
  <c r="AN35" i="22"/>
  <c r="AM35" i="22"/>
  <c r="AL35" i="22"/>
  <c r="AE35" i="22"/>
  <c r="AD35" i="22"/>
  <c r="AC35" i="22"/>
  <c r="V35" i="22"/>
  <c r="AX35" i="22" s="1"/>
  <c r="U35" i="22"/>
  <c r="BS35" i="22" s="1"/>
  <c r="BT34" i="22"/>
  <c r="BR34" i="22"/>
  <c r="BO34" i="22"/>
  <c r="BN34" i="22"/>
  <c r="BM34" i="22"/>
  <c r="BL34" i="22"/>
  <c r="BK34" i="22"/>
  <c r="BJ34" i="22"/>
  <c r="BI34" i="22"/>
  <c r="BH34" i="22"/>
  <c r="BF34" i="22"/>
  <c r="BE34" i="22"/>
  <c r="BD34" i="22"/>
  <c r="AW34" i="22"/>
  <c r="AV34" i="22"/>
  <c r="AU34" i="22"/>
  <c r="AN34" i="22"/>
  <c r="AM34" i="22"/>
  <c r="AL34" i="22"/>
  <c r="AE34" i="22"/>
  <c r="AD34" i="22"/>
  <c r="AC34" i="22"/>
  <c r="V34" i="22"/>
  <c r="BG34" i="22" s="1"/>
  <c r="U34" i="22"/>
  <c r="BS34" i="22" s="1"/>
  <c r="BT33" i="22"/>
  <c r="BR33" i="22"/>
  <c r="BO33" i="22"/>
  <c r="BN33" i="22"/>
  <c r="BM33" i="22"/>
  <c r="BL33" i="22"/>
  <c r="BK33" i="22"/>
  <c r="BJ33" i="22"/>
  <c r="BI33" i="22"/>
  <c r="BH33" i="22"/>
  <c r="BF33" i="22"/>
  <c r="BE33" i="22"/>
  <c r="BD33" i="22"/>
  <c r="AW33" i="22"/>
  <c r="AV33" i="22"/>
  <c r="AU33" i="22"/>
  <c r="AN33" i="22"/>
  <c r="AM33" i="22"/>
  <c r="AL33" i="22"/>
  <c r="AE33" i="22"/>
  <c r="AD33" i="22"/>
  <c r="AC33" i="22"/>
  <c r="V33" i="22"/>
  <c r="BG33" i="22" s="1"/>
  <c r="U33" i="22"/>
  <c r="BS33" i="22" s="1"/>
  <c r="BT32" i="22"/>
  <c r="BR32" i="22"/>
  <c r="BO32" i="22"/>
  <c r="BN32" i="22"/>
  <c r="BM32" i="22"/>
  <c r="BL32" i="22"/>
  <c r="BK32" i="22"/>
  <c r="BJ32" i="22"/>
  <c r="BI32" i="22"/>
  <c r="BH32" i="22"/>
  <c r="BF32" i="22"/>
  <c r="BE32" i="22"/>
  <c r="BD32" i="22"/>
  <c r="AW32" i="22"/>
  <c r="AV32" i="22"/>
  <c r="AU32" i="22"/>
  <c r="AN32" i="22"/>
  <c r="AM32" i="22"/>
  <c r="AL32" i="22"/>
  <c r="AE32" i="22"/>
  <c r="AD32" i="22"/>
  <c r="AC32" i="22"/>
  <c r="V32" i="22"/>
  <c r="BG32" i="22" s="1"/>
  <c r="U32" i="22"/>
  <c r="BS32" i="22" s="1"/>
  <c r="BT31" i="22"/>
  <c r="BR31" i="22"/>
  <c r="BO31" i="22"/>
  <c r="BN31" i="22"/>
  <c r="BM31" i="22"/>
  <c r="BL31" i="22"/>
  <c r="BK31" i="22"/>
  <c r="BJ31" i="22"/>
  <c r="BI31" i="22"/>
  <c r="BH31" i="22"/>
  <c r="BF31" i="22"/>
  <c r="BE31" i="22"/>
  <c r="BD31" i="22"/>
  <c r="AW31" i="22"/>
  <c r="AV31" i="22"/>
  <c r="AU31" i="22"/>
  <c r="AN31" i="22"/>
  <c r="AM31" i="22"/>
  <c r="AL31" i="22"/>
  <c r="AE31" i="22"/>
  <c r="AD31" i="22"/>
  <c r="AC31" i="22"/>
  <c r="V31" i="22"/>
  <c r="BG31" i="22" s="1"/>
  <c r="U31" i="22"/>
  <c r="BS31" i="22" s="1"/>
  <c r="BT30" i="22"/>
  <c r="BR30" i="22"/>
  <c r="BO30" i="22"/>
  <c r="BN30" i="22"/>
  <c r="BM30" i="22"/>
  <c r="BL30" i="22"/>
  <c r="BK30" i="22"/>
  <c r="BJ30" i="22"/>
  <c r="BI30" i="22"/>
  <c r="BH30" i="22"/>
  <c r="BF30" i="22"/>
  <c r="BE30" i="22"/>
  <c r="BD30" i="22"/>
  <c r="AW30" i="22"/>
  <c r="AV30" i="22"/>
  <c r="AU30" i="22"/>
  <c r="AN30" i="22"/>
  <c r="AM30" i="22"/>
  <c r="AL30" i="22"/>
  <c r="AE30" i="22"/>
  <c r="AD30" i="22"/>
  <c r="AC30" i="22"/>
  <c r="V30" i="22"/>
  <c r="U30" i="22"/>
  <c r="BS30" i="22" s="1"/>
  <c r="BT29" i="22"/>
  <c r="BR29" i="22"/>
  <c r="BO29" i="22"/>
  <c r="BN29" i="22"/>
  <c r="BM29" i="22"/>
  <c r="BL29" i="22"/>
  <c r="BK29" i="22"/>
  <c r="BJ29" i="22"/>
  <c r="BI29" i="22"/>
  <c r="BH29" i="22"/>
  <c r="BF29" i="22"/>
  <c r="BE29" i="22"/>
  <c r="BD29" i="22"/>
  <c r="AW29" i="22"/>
  <c r="AV29" i="22"/>
  <c r="AU29" i="22"/>
  <c r="AN29" i="22"/>
  <c r="AM29" i="22"/>
  <c r="AL29" i="22"/>
  <c r="AE29" i="22"/>
  <c r="AD29" i="22"/>
  <c r="AC29" i="22"/>
  <c r="V29" i="22"/>
  <c r="BG29" i="22" s="1"/>
  <c r="U29" i="22"/>
  <c r="BS29" i="22" s="1"/>
  <c r="BT28" i="22"/>
  <c r="BR28" i="22"/>
  <c r="BO28" i="22"/>
  <c r="BN28" i="22"/>
  <c r="BM28" i="22"/>
  <c r="BL28" i="22"/>
  <c r="BK28" i="22"/>
  <c r="BJ28" i="22"/>
  <c r="BI28" i="22"/>
  <c r="BH28" i="22"/>
  <c r="BF28" i="22"/>
  <c r="BE28" i="22"/>
  <c r="BD28" i="22"/>
  <c r="AW28" i="22"/>
  <c r="AV28" i="22"/>
  <c r="AU28" i="22"/>
  <c r="AN28" i="22"/>
  <c r="AM28" i="22"/>
  <c r="AL28" i="22"/>
  <c r="AE28" i="22"/>
  <c r="AD28" i="22"/>
  <c r="AC28" i="22"/>
  <c r="V28" i="22"/>
  <c r="BG28" i="22" s="1"/>
  <c r="U28" i="22"/>
  <c r="BS28" i="22" s="1"/>
  <c r="BT27" i="22"/>
  <c r="BR27" i="22"/>
  <c r="BO27" i="22"/>
  <c r="BN27" i="22"/>
  <c r="BM27" i="22"/>
  <c r="BL27" i="22"/>
  <c r="BK27" i="22"/>
  <c r="BJ27" i="22"/>
  <c r="BI27" i="22"/>
  <c r="BH27" i="22"/>
  <c r="BF27" i="22"/>
  <c r="BE27" i="22"/>
  <c r="BD27" i="22"/>
  <c r="AW27" i="22"/>
  <c r="AV27" i="22"/>
  <c r="AU27" i="22"/>
  <c r="AN27" i="22"/>
  <c r="AM27" i="22"/>
  <c r="AL27" i="22"/>
  <c r="AE27" i="22"/>
  <c r="AD27" i="22"/>
  <c r="AC27" i="22"/>
  <c r="V27" i="22"/>
  <c r="AX27" i="22" s="1"/>
  <c r="U27" i="22"/>
  <c r="BS27" i="22" s="1"/>
  <c r="BT26" i="22"/>
  <c r="BR26" i="22"/>
  <c r="BO26" i="22"/>
  <c r="BN26" i="22"/>
  <c r="BM26" i="22"/>
  <c r="BL26" i="22"/>
  <c r="BK26" i="22"/>
  <c r="BJ26" i="22"/>
  <c r="BI26" i="22"/>
  <c r="BH26" i="22"/>
  <c r="BF26" i="22"/>
  <c r="BE26" i="22"/>
  <c r="BD26" i="22"/>
  <c r="AW26" i="22"/>
  <c r="AV26" i="22"/>
  <c r="AU26" i="22"/>
  <c r="AN26" i="22"/>
  <c r="AM26" i="22"/>
  <c r="AL26" i="22"/>
  <c r="AE26" i="22"/>
  <c r="AD26" i="22"/>
  <c r="AC26" i="22"/>
  <c r="V26" i="22"/>
  <c r="BG26" i="22" s="1"/>
  <c r="U26" i="22"/>
  <c r="BS26" i="22" s="1"/>
  <c r="BT25" i="22"/>
  <c r="BR25" i="22"/>
  <c r="BO25" i="22"/>
  <c r="BN25" i="22"/>
  <c r="BM25" i="22"/>
  <c r="BL25" i="22"/>
  <c r="BK25" i="22"/>
  <c r="BJ25" i="22"/>
  <c r="BI25" i="22"/>
  <c r="BH25" i="22"/>
  <c r="BF25" i="22"/>
  <c r="BE25" i="22"/>
  <c r="BD25" i="22"/>
  <c r="AW25" i="22"/>
  <c r="AV25" i="22"/>
  <c r="AU25" i="22"/>
  <c r="AN25" i="22"/>
  <c r="AM25" i="22"/>
  <c r="AL25" i="22"/>
  <c r="AE25" i="22"/>
  <c r="AD25" i="22"/>
  <c r="AC25" i="22"/>
  <c r="V25" i="22"/>
  <c r="AX25" i="22" s="1"/>
  <c r="U25" i="22"/>
  <c r="BS25" i="22" s="1"/>
  <c r="BT24" i="22"/>
  <c r="BR24" i="22"/>
  <c r="BO24" i="22"/>
  <c r="BN24" i="22"/>
  <c r="BM24" i="22"/>
  <c r="BL24" i="22"/>
  <c r="BK24" i="22"/>
  <c r="BJ24" i="22"/>
  <c r="BI24" i="22"/>
  <c r="BH24" i="22"/>
  <c r="BF24" i="22"/>
  <c r="BE24" i="22"/>
  <c r="BD24" i="22"/>
  <c r="AW24" i="22"/>
  <c r="AV24" i="22"/>
  <c r="AU24" i="22"/>
  <c r="AN24" i="22"/>
  <c r="AM24" i="22"/>
  <c r="AL24" i="22"/>
  <c r="AE24" i="22"/>
  <c r="AD24" i="22"/>
  <c r="AC24" i="22"/>
  <c r="V24" i="22"/>
  <c r="BG24" i="22" s="1"/>
  <c r="U24" i="22"/>
  <c r="BS24" i="22" s="1"/>
  <c r="BT23" i="22"/>
  <c r="BR23" i="22"/>
  <c r="BO23" i="22"/>
  <c r="BN23" i="22"/>
  <c r="BM23" i="22"/>
  <c r="BL23" i="22"/>
  <c r="BK23" i="22"/>
  <c r="BJ23" i="22"/>
  <c r="BI23" i="22"/>
  <c r="BH23" i="22"/>
  <c r="BF23" i="22"/>
  <c r="BE23" i="22"/>
  <c r="BD23" i="22"/>
  <c r="AW23" i="22"/>
  <c r="AV23" i="22"/>
  <c r="AU23" i="22"/>
  <c r="AN23" i="22"/>
  <c r="AM23" i="22"/>
  <c r="AL23" i="22"/>
  <c r="AE23" i="22"/>
  <c r="AD23" i="22"/>
  <c r="AC23" i="22"/>
  <c r="V23" i="22"/>
  <c r="BG23" i="22" s="1"/>
  <c r="U23" i="22"/>
  <c r="BS23" i="22" s="1"/>
  <c r="BT22" i="22"/>
  <c r="BR22" i="22"/>
  <c r="BO22" i="22"/>
  <c r="BN22" i="22"/>
  <c r="BM22" i="22"/>
  <c r="BL22" i="22"/>
  <c r="BK22" i="22"/>
  <c r="BJ22" i="22"/>
  <c r="BI22" i="22"/>
  <c r="BH22" i="22"/>
  <c r="BF22" i="22"/>
  <c r="BE22" i="22"/>
  <c r="BD22" i="22"/>
  <c r="AW22" i="22"/>
  <c r="AV22" i="22"/>
  <c r="AU22" i="22"/>
  <c r="AN22" i="22"/>
  <c r="AM22" i="22"/>
  <c r="AL22" i="22"/>
  <c r="AE22" i="22"/>
  <c r="AD22" i="22"/>
  <c r="AC22" i="22"/>
  <c r="V22" i="22"/>
  <c r="AO22" i="22" s="1"/>
  <c r="U22" i="22"/>
  <c r="BS22" i="22" s="1"/>
  <c r="BT21" i="22"/>
  <c r="BR21" i="22"/>
  <c r="BO21" i="22"/>
  <c r="BN21" i="22"/>
  <c r="BM21" i="22"/>
  <c r="BL21" i="22"/>
  <c r="BK21" i="22"/>
  <c r="BJ21" i="22"/>
  <c r="BI21" i="22"/>
  <c r="BH21" i="22"/>
  <c r="BF21" i="22"/>
  <c r="BE21" i="22"/>
  <c r="BD21" i="22"/>
  <c r="AW21" i="22"/>
  <c r="AV21" i="22"/>
  <c r="AU21" i="22"/>
  <c r="AN21" i="22"/>
  <c r="AM21" i="22"/>
  <c r="AL21" i="22"/>
  <c r="AE21" i="22"/>
  <c r="AD21" i="22"/>
  <c r="AC21" i="22"/>
  <c r="V21" i="22"/>
  <c r="BG21" i="22" s="1"/>
  <c r="U21" i="22"/>
  <c r="BS21" i="22" s="1"/>
  <c r="BT20" i="22"/>
  <c r="BR20" i="22"/>
  <c r="BO20" i="22"/>
  <c r="BN20" i="22"/>
  <c r="BM20" i="22"/>
  <c r="BL20" i="22"/>
  <c r="BK20" i="22"/>
  <c r="BJ20" i="22"/>
  <c r="BI20" i="22"/>
  <c r="BH20" i="22"/>
  <c r="BF20" i="22"/>
  <c r="BE20" i="22"/>
  <c r="BD20" i="22"/>
  <c r="AW20" i="22"/>
  <c r="AV20" i="22"/>
  <c r="AU20" i="22"/>
  <c r="AN20" i="22"/>
  <c r="AM20" i="22"/>
  <c r="AL20" i="22"/>
  <c r="AE20" i="22"/>
  <c r="AD20" i="22"/>
  <c r="AC20" i="22"/>
  <c r="V20" i="22"/>
  <c r="BG20" i="22" s="1"/>
  <c r="U20" i="22"/>
  <c r="BS20" i="22" s="1"/>
  <c r="BT19" i="22"/>
  <c r="BR19" i="22"/>
  <c r="BO19" i="22"/>
  <c r="BN19" i="22"/>
  <c r="BM19" i="22"/>
  <c r="BL19" i="22"/>
  <c r="BK19" i="22"/>
  <c r="BJ19" i="22"/>
  <c r="BI19" i="22"/>
  <c r="BH19" i="22"/>
  <c r="BF19" i="22"/>
  <c r="BE19" i="22"/>
  <c r="BD19" i="22"/>
  <c r="AW19" i="22"/>
  <c r="AV19" i="22"/>
  <c r="AU19" i="22"/>
  <c r="AN19" i="22"/>
  <c r="AM19" i="22"/>
  <c r="AL19" i="22"/>
  <c r="AE19" i="22"/>
  <c r="AD19" i="22"/>
  <c r="AC19" i="22"/>
  <c r="V19" i="22"/>
  <c r="BG19" i="22" s="1"/>
  <c r="U19" i="22"/>
  <c r="BS19" i="22" s="1"/>
  <c r="BT18" i="22"/>
  <c r="BR18" i="22"/>
  <c r="BO18" i="22"/>
  <c r="BN18" i="22"/>
  <c r="BM18" i="22"/>
  <c r="BL18" i="22"/>
  <c r="BK18" i="22"/>
  <c r="BJ18" i="22"/>
  <c r="BI18" i="22"/>
  <c r="BH18" i="22"/>
  <c r="BF18" i="22"/>
  <c r="BE18" i="22"/>
  <c r="BD18" i="22"/>
  <c r="AW18" i="22"/>
  <c r="AV18" i="22"/>
  <c r="AU18" i="22"/>
  <c r="AN18" i="22"/>
  <c r="AM18" i="22"/>
  <c r="AL18" i="22"/>
  <c r="AE18" i="22"/>
  <c r="AD18" i="22"/>
  <c r="AC18" i="22"/>
  <c r="V18" i="22"/>
  <c r="BG18" i="22" s="1"/>
  <c r="U18" i="22"/>
  <c r="BS18" i="22" s="1"/>
  <c r="BT17" i="22"/>
  <c r="BR17" i="22"/>
  <c r="BO17" i="22"/>
  <c r="BN17" i="22"/>
  <c r="BM17" i="22"/>
  <c r="BL17" i="22"/>
  <c r="BK17" i="22"/>
  <c r="BJ17" i="22"/>
  <c r="BI17" i="22"/>
  <c r="BH17" i="22"/>
  <c r="BF17" i="22"/>
  <c r="BE17" i="22"/>
  <c r="BD17" i="22"/>
  <c r="AW17" i="22"/>
  <c r="AV17" i="22"/>
  <c r="AU17" i="22"/>
  <c r="AN17" i="22"/>
  <c r="AM17" i="22"/>
  <c r="AL17" i="22"/>
  <c r="AE17" i="22"/>
  <c r="AD17" i="22"/>
  <c r="AC17" i="22"/>
  <c r="V17" i="22"/>
  <c r="BG17" i="22" s="1"/>
  <c r="U17" i="22"/>
  <c r="BS17" i="22" s="1"/>
  <c r="BT16" i="22"/>
  <c r="BR16" i="22"/>
  <c r="BO16" i="22"/>
  <c r="BN16" i="22"/>
  <c r="BM16" i="22"/>
  <c r="BL16" i="22"/>
  <c r="BK16" i="22"/>
  <c r="BJ16" i="22"/>
  <c r="BI16" i="22"/>
  <c r="BH16" i="22"/>
  <c r="BF16" i="22"/>
  <c r="BE16" i="22"/>
  <c r="BD16" i="22"/>
  <c r="AW16" i="22"/>
  <c r="AV16" i="22"/>
  <c r="AU16" i="22"/>
  <c r="AN16" i="22"/>
  <c r="AM16" i="22"/>
  <c r="AL16" i="22"/>
  <c r="AE16" i="22"/>
  <c r="AD16" i="22"/>
  <c r="AC16" i="22"/>
  <c r="V16" i="22"/>
  <c r="BG16" i="22" s="1"/>
  <c r="U16" i="22"/>
  <c r="BS16" i="22" s="1"/>
  <c r="BT15" i="22"/>
  <c r="BR15" i="22"/>
  <c r="BO15" i="22"/>
  <c r="BN15" i="22"/>
  <c r="BM15" i="22"/>
  <c r="BL15" i="22"/>
  <c r="BK15" i="22"/>
  <c r="BJ15" i="22"/>
  <c r="BI15" i="22"/>
  <c r="BH15" i="22"/>
  <c r="BF15" i="22"/>
  <c r="BE15" i="22"/>
  <c r="BD15" i="22"/>
  <c r="AX15" i="22"/>
  <c r="AW15" i="22"/>
  <c r="AV15" i="22"/>
  <c r="AU15" i="22"/>
  <c r="AN15" i="22"/>
  <c r="AM15" i="22"/>
  <c r="AL15" i="22"/>
  <c r="AE15" i="22"/>
  <c r="AD15" i="22"/>
  <c r="AC15" i="22"/>
  <c r="V15" i="22"/>
  <c r="BG15" i="22" s="1"/>
  <c r="U15" i="22"/>
  <c r="BS15" i="22" s="1"/>
  <c r="BT14" i="22"/>
  <c r="BR14" i="22"/>
  <c r="BO14" i="22"/>
  <c r="BN14" i="22"/>
  <c r="BM14" i="22"/>
  <c r="BL14" i="22"/>
  <c r="BK14" i="22"/>
  <c r="BJ14" i="22"/>
  <c r="BI14" i="22"/>
  <c r="BH14" i="22"/>
  <c r="BF14" i="22"/>
  <c r="BE14" i="22"/>
  <c r="BD14" i="22"/>
  <c r="AW14" i="22"/>
  <c r="AV14" i="22"/>
  <c r="AU14" i="22"/>
  <c r="AN14" i="22"/>
  <c r="AM14" i="22"/>
  <c r="AL14" i="22"/>
  <c r="AE14" i="22"/>
  <c r="AD14" i="22"/>
  <c r="AC14" i="22"/>
  <c r="V14" i="22"/>
  <c r="BG14" i="22" s="1"/>
  <c r="U14" i="22"/>
  <c r="BS14" i="22" s="1"/>
  <c r="BT13" i="22"/>
  <c r="BR13" i="22"/>
  <c r="BO13" i="22"/>
  <c r="BN13" i="22"/>
  <c r="BM13" i="22"/>
  <c r="BL13" i="22"/>
  <c r="BK13" i="22"/>
  <c r="BJ13" i="22"/>
  <c r="BI13" i="22"/>
  <c r="BH13" i="22"/>
  <c r="BF13" i="22"/>
  <c r="BE13" i="22"/>
  <c r="BD13" i="22"/>
  <c r="AW13" i="22"/>
  <c r="AV13" i="22"/>
  <c r="AU13" i="22"/>
  <c r="AN13" i="22"/>
  <c r="AM13" i="22"/>
  <c r="AL13" i="22"/>
  <c r="AE13" i="22"/>
  <c r="AD13" i="22"/>
  <c r="AC13" i="22"/>
  <c r="V13" i="22"/>
  <c r="BG13" i="22" s="1"/>
  <c r="U13" i="22"/>
  <c r="BS13" i="22" s="1"/>
  <c r="BT12" i="22"/>
  <c r="BR12" i="22"/>
  <c r="BO12" i="22"/>
  <c r="BN12" i="22"/>
  <c r="BM12" i="22"/>
  <c r="BL12" i="22"/>
  <c r="BK12" i="22"/>
  <c r="BJ12" i="22"/>
  <c r="BI12" i="22"/>
  <c r="BH12" i="22"/>
  <c r="BF12" i="22"/>
  <c r="BE12" i="22"/>
  <c r="BD12" i="22"/>
  <c r="AW12" i="22"/>
  <c r="AV12" i="22"/>
  <c r="AU12" i="22"/>
  <c r="AN12" i="22"/>
  <c r="AM12" i="22"/>
  <c r="AL12" i="22"/>
  <c r="AE12" i="22"/>
  <c r="AD12" i="22"/>
  <c r="AC12" i="22"/>
  <c r="V12" i="22"/>
  <c r="U12" i="22"/>
  <c r="BS12" i="22" s="1"/>
  <c r="BT11" i="22"/>
  <c r="BR11" i="22"/>
  <c r="BT10" i="22"/>
  <c r="BR10" i="22"/>
  <c r="BT9" i="22"/>
  <c r="BR9" i="22"/>
  <c r="BO9" i="22"/>
  <c r="BN9" i="22"/>
  <c r="BM9" i="22"/>
  <c r="BL9" i="22"/>
  <c r="BK9" i="22"/>
  <c r="BJ9" i="22"/>
  <c r="BI9" i="22"/>
  <c r="BH9" i="22"/>
  <c r="BF9" i="22"/>
  <c r="BE9" i="22"/>
  <c r="BD9" i="22"/>
  <c r="AW9" i="22"/>
  <c r="AV9" i="22"/>
  <c r="AU9" i="22"/>
  <c r="AN9" i="22"/>
  <c r="AM9" i="22"/>
  <c r="AL9" i="22"/>
  <c r="AE9" i="22"/>
  <c r="AD9" i="22"/>
  <c r="AC9" i="22"/>
  <c r="V9" i="22"/>
  <c r="BG9" i="22" s="1"/>
  <c r="U9" i="22"/>
  <c r="BS9" i="22" s="1"/>
  <c r="BT8" i="22"/>
  <c r="BR8" i="22"/>
  <c r="BO8" i="22"/>
  <c r="BN8" i="22"/>
  <c r="BM8" i="22"/>
  <c r="BL8" i="22"/>
  <c r="BK8" i="22"/>
  <c r="BJ8" i="22"/>
  <c r="BI8" i="22"/>
  <c r="BH8" i="22"/>
  <c r="BF8" i="22"/>
  <c r="BE8" i="22"/>
  <c r="BD8" i="22"/>
  <c r="AW8" i="22"/>
  <c r="AV8" i="22"/>
  <c r="AU8" i="22"/>
  <c r="AN8" i="22"/>
  <c r="AM8" i="22"/>
  <c r="AL8" i="22"/>
  <c r="AE8" i="22"/>
  <c r="AD8" i="22"/>
  <c r="AC8" i="22"/>
  <c r="V8" i="22"/>
  <c r="AX8" i="22" s="1"/>
  <c r="U8" i="22"/>
  <c r="BS8" i="22" s="1"/>
  <c r="AF33" i="22" l="1"/>
  <c r="AX48" i="22"/>
  <c r="AX102" i="22"/>
  <c r="AX63" i="22"/>
  <c r="BI67" i="22"/>
  <c r="AF100" i="22"/>
  <c r="AX50" i="22"/>
  <c r="AD73" i="22"/>
  <c r="AF116" i="22"/>
  <c r="BI133" i="22"/>
  <c r="AX18" i="22"/>
  <c r="AF64" i="22"/>
  <c r="AF73" i="22"/>
  <c r="AX73" i="22"/>
  <c r="AI82" i="22"/>
  <c r="BK82" i="22" s="1"/>
  <c r="AD133" i="22"/>
  <c r="AX32" i="22"/>
  <c r="AD67" i="22"/>
  <c r="AX133" i="22"/>
  <c r="AX136" i="22"/>
  <c r="AX53" i="22"/>
  <c r="AX127" i="22"/>
  <c r="AO130" i="22"/>
  <c r="AF133" i="22"/>
  <c r="AF53" i="22"/>
  <c r="BG22" i="22"/>
  <c r="AF41" i="22"/>
  <c r="AX43" i="22"/>
  <c r="AF70" i="22"/>
  <c r="AF81" i="22"/>
  <c r="AF82" i="22"/>
  <c r="AF91" i="22"/>
  <c r="AX92" i="22"/>
  <c r="AF101" i="22"/>
  <c r="AX132" i="22"/>
  <c r="AO133" i="22"/>
  <c r="AX141" i="22"/>
  <c r="BG146" i="22"/>
  <c r="AF149" i="22"/>
  <c r="AF32" i="22"/>
  <c r="AF42" i="22"/>
  <c r="AF63" i="22"/>
  <c r="AO108" i="22"/>
  <c r="AF115" i="22"/>
  <c r="AX116" i="22"/>
  <c r="AX129" i="22"/>
  <c r="AF132" i="22"/>
  <c r="AF140" i="22"/>
  <c r="AO67" i="22"/>
  <c r="BG67" i="22"/>
  <c r="AF102" i="22"/>
  <c r="AF129" i="22"/>
  <c r="AO28" i="22"/>
  <c r="AO60" i="22"/>
  <c r="AO124" i="22"/>
  <c r="AF37" i="22"/>
  <c r="AX39" i="22"/>
  <c r="AF50" i="22"/>
  <c r="AX58" i="22"/>
  <c r="BG77" i="22"/>
  <c r="AF78" i="22"/>
  <c r="AX79" i="22"/>
  <c r="AX85" i="22"/>
  <c r="BG106" i="22"/>
  <c r="AX113" i="22"/>
  <c r="AX123" i="22"/>
  <c r="Z124" i="22"/>
  <c r="Z149" i="22"/>
  <c r="BT149" i="22" s="1"/>
  <c r="AX51" i="22"/>
  <c r="AF67" i="22"/>
  <c r="Z68" i="22"/>
  <c r="BT68" i="22" s="1"/>
  <c r="AF79" i="22"/>
  <c r="AF85" i="22"/>
  <c r="Z92" i="22"/>
  <c r="BI92" i="22" s="1"/>
  <c r="AX97" i="22"/>
  <c r="Z98" i="22"/>
  <c r="BG108" i="22"/>
  <c r="AF113" i="22"/>
  <c r="AX114" i="22"/>
  <c r="AX125" i="22"/>
  <c r="AF150" i="22"/>
  <c r="AO36" i="22"/>
  <c r="AF51" i="22"/>
  <c r="AF69" i="22"/>
  <c r="AX70" i="22"/>
  <c r="AX82" i="22"/>
  <c r="BG95" i="22"/>
  <c r="AX101" i="22"/>
  <c r="AF125" i="22"/>
  <c r="AF127" i="22"/>
  <c r="AX128" i="22"/>
  <c r="AF136" i="22"/>
  <c r="Z148" i="22"/>
  <c r="BT148" i="22" s="1"/>
  <c r="AX16" i="22"/>
  <c r="AF19" i="22"/>
  <c r="AF26" i="22"/>
  <c r="AX33" i="22"/>
  <c r="AX49" i="22"/>
  <c r="AF71" i="22"/>
  <c r="AX81" i="22"/>
  <c r="AF83" i="22"/>
  <c r="AX91" i="22"/>
  <c r="AO92" i="22"/>
  <c r="AO107" i="22"/>
  <c r="BG107" i="22"/>
  <c r="AF110" i="22"/>
  <c r="AX110" i="22"/>
  <c r="AX115" i="22"/>
  <c r="BG119" i="22"/>
  <c r="AF124" i="22"/>
  <c r="AX124" i="22"/>
  <c r="BG139" i="22"/>
  <c r="BG8" i="22"/>
  <c r="AO14" i="22"/>
  <c r="AF16" i="22"/>
  <c r="AX57" i="22"/>
  <c r="AX66" i="22"/>
  <c r="AF68" i="22"/>
  <c r="AX68" i="22"/>
  <c r="AX78" i="22"/>
  <c r="BG93" i="22"/>
  <c r="Z107" i="22"/>
  <c r="AR107" i="22"/>
  <c r="BM107" i="22" s="1"/>
  <c r="AX108" i="22"/>
  <c r="AX149" i="22"/>
  <c r="AX17" i="22"/>
  <c r="AX34" i="22"/>
  <c r="AF57" i="22"/>
  <c r="AX61" i="22"/>
  <c r="AF66" i="22"/>
  <c r="AX69" i="22"/>
  <c r="BI73" i="22"/>
  <c r="AO93" i="22"/>
  <c r="AF96" i="22"/>
  <c r="AO98" i="22"/>
  <c r="BG98" i="22"/>
  <c r="AF141" i="22"/>
  <c r="AO148" i="22"/>
  <c r="BG148" i="22"/>
  <c r="AF17" i="22"/>
  <c r="AF21" i="22"/>
  <c r="AF34" i="22"/>
  <c r="AF39" i="22"/>
  <c r="AF43" i="22"/>
  <c r="AF61" i="22"/>
  <c r="Z93" i="22"/>
  <c r="AX138" i="22"/>
  <c r="AX150" i="22"/>
  <c r="AX29" i="22"/>
  <c r="AX40" i="22"/>
  <c r="AF58" i="22"/>
  <c r="AX107" i="22"/>
  <c r="AO110" i="22"/>
  <c r="BG110" i="22"/>
  <c r="BG111" i="22"/>
  <c r="AF138" i="22"/>
  <c r="AX143" i="22"/>
  <c r="AF18" i="22"/>
  <c r="AX24" i="22"/>
  <c r="AF29" i="22"/>
  <c r="AF40" i="22"/>
  <c r="AO68" i="22"/>
  <c r="AF123" i="22"/>
  <c r="BI124" i="22"/>
  <c r="AF143" i="22"/>
  <c r="AO149" i="22"/>
  <c r="AF24" i="22"/>
  <c r="AF47" i="22"/>
  <c r="AX56" i="22"/>
  <c r="AX80" i="22"/>
  <c r="AF98" i="22"/>
  <c r="AX103" i="22"/>
  <c r="AO125" i="22"/>
  <c r="BG125" i="22"/>
  <c r="AX135" i="22"/>
  <c r="AF148" i="22"/>
  <c r="AF15" i="22"/>
  <c r="AX19" i="22"/>
  <c r="AX26" i="22"/>
  <c r="AX42" i="22"/>
  <c r="AF48" i="22"/>
  <c r="AF56" i="22"/>
  <c r="AF59" i="22"/>
  <c r="AX71" i="22"/>
  <c r="AF80" i="22"/>
  <c r="AR82" i="22"/>
  <c r="AX83" i="22"/>
  <c r="AF86" i="22"/>
  <c r="AX100" i="22"/>
  <c r="AF103" i="22"/>
  <c r="AF109" i="22"/>
  <c r="AF114" i="22"/>
  <c r="AX121" i="22"/>
  <c r="AF128" i="22"/>
  <c r="AF131" i="22"/>
  <c r="AF135" i="22"/>
  <c r="AX140" i="22"/>
  <c r="BI149" i="22"/>
  <c r="AX12" i="22"/>
  <c r="AF12" i="22"/>
  <c r="AX30" i="22"/>
  <c r="AF30" i="22"/>
  <c r="AX44" i="22"/>
  <c r="AF44" i="22"/>
  <c r="AX89" i="22"/>
  <c r="AF89" i="22"/>
  <c r="AX36" i="22"/>
  <c r="AF36" i="22"/>
  <c r="BT98" i="22"/>
  <c r="BI98" i="22"/>
  <c r="AD98" i="22"/>
  <c r="AX119" i="22"/>
  <c r="AF119" i="22"/>
  <c r="AX139" i="22"/>
  <c r="AF139" i="22"/>
  <c r="AX95" i="22"/>
  <c r="AF95" i="22"/>
  <c r="AX28" i="22"/>
  <c r="AF28" i="22"/>
  <c r="BI148" i="22"/>
  <c r="AD148" i="22"/>
  <c r="AX106" i="22"/>
  <c r="AF106" i="22"/>
  <c r="AO8" i="22"/>
  <c r="AF8" i="22"/>
  <c r="AX22" i="22"/>
  <c r="AF22" i="22"/>
  <c r="AX52" i="22"/>
  <c r="AF52" i="22"/>
  <c r="AX60" i="22"/>
  <c r="AF60" i="22"/>
  <c r="AX111" i="22"/>
  <c r="AF111" i="22"/>
  <c r="AX14" i="22"/>
  <c r="AF14" i="22"/>
  <c r="BG12" i="22"/>
  <c r="BG30" i="22"/>
  <c r="BG44" i="22"/>
  <c r="AX77" i="22"/>
  <c r="AF77" i="22"/>
  <c r="BG89" i="22"/>
  <c r="BT92" i="22"/>
  <c r="BT125" i="22"/>
  <c r="BI125" i="22"/>
  <c r="AD125" i="22"/>
  <c r="AX146" i="22"/>
  <c r="AF146" i="22"/>
  <c r="AX20" i="22"/>
  <c r="AF20" i="22"/>
  <c r="AO12" i="22"/>
  <c r="AO20" i="22"/>
  <c r="AO30" i="22"/>
  <c r="AO44" i="22"/>
  <c r="AO89" i="22"/>
  <c r="BM108" i="22"/>
  <c r="AV108" i="22"/>
  <c r="AF13" i="22"/>
  <c r="AX13" i="22"/>
  <c r="AO17" i="22"/>
  <c r="AX21" i="22"/>
  <c r="AO25" i="22"/>
  <c r="BG25" i="22"/>
  <c r="AO33" i="22"/>
  <c r="AO41" i="22"/>
  <c r="BG41" i="22"/>
  <c r="AF45" i="22"/>
  <c r="AX45" i="22"/>
  <c r="AO49" i="22"/>
  <c r="AO57" i="22"/>
  <c r="AO65" i="22"/>
  <c r="BG65" i="22"/>
  <c r="AO71" i="22"/>
  <c r="AO74" i="22"/>
  <c r="BG74" i="22"/>
  <c r="AM82" i="22"/>
  <c r="BA82" i="22"/>
  <c r="AO86" i="22"/>
  <c r="BG86" i="22"/>
  <c r="AF90" i="22"/>
  <c r="AX90" i="22"/>
  <c r="AX96" i="22"/>
  <c r="AF99" i="22"/>
  <c r="AX99" i="22"/>
  <c r="AO103" i="22"/>
  <c r="AV107" i="22"/>
  <c r="BI107" i="22"/>
  <c r="AF108" i="22"/>
  <c r="AX109" i="22"/>
  <c r="AF112" i="22"/>
  <c r="AX112" i="22"/>
  <c r="AO116" i="22"/>
  <c r="AF120" i="22"/>
  <c r="AX120" i="22"/>
  <c r="AF126" i="22"/>
  <c r="AX126" i="22"/>
  <c r="AO136" i="22"/>
  <c r="BG144" i="22"/>
  <c r="AO38" i="22"/>
  <c r="BG38" i="22"/>
  <c r="AO46" i="22"/>
  <c r="BG46" i="22"/>
  <c r="AO54" i="22"/>
  <c r="BG54" i="22"/>
  <c r="AO62" i="22"/>
  <c r="BG62" i="22"/>
  <c r="AF72" i="22"/>
  <c r="AX72" i="22"/>
  <c r="AF75" i="22"/>
  <c r="AX75" i="22"/>
  <c r="AO79" i="22"/>
  <c r="Z82" i="22"/>
  <c r="AO83" i="22"/>
  <c r="AF87" i="22"/>
  <c r="AX87" i="22"/>
  <c r="AO91" i="22"/>
  <c r="AF93" i="22"/>
  <c r="AO97" i="22"/>
  <c r="AO100" i="22"/>
  <c r="AF104" i="22"/>
  <c r="AX104" i="22"/>
  <c r="AI108" i="22"/>
  <c r="AO113" i="22"/>
  <c r="AF117" i="22"/>
  <c r="AX117" i="22"/>
  <c r="AO121" i="22"/>
  <c r="AO127" i="22"/>
  <c r="AF137" i="22"/>
  <c r="AX137" i="22"/>
  <c r="AO141" i="22"/>
  <c r="AF9" i="22"/>
  <c r="AX9" i="22"/>
  <c r="AO19" i="22"/>
  <c r="AF23" i="22"/>
  <c r="AX23" i="22"/>
  <c r="AO27" i="22"/>
  <c r="BG27" i="22"/>
  <c r="AF31" i="22"/>
  <c r="AX31" i="22"/>
  <c r="AO35" i="22"/>
  <c r="BG35" i="22"/>
  <c r="AO43" i="22"/>
  <c r="AX47" i="22"/>
  <c r="AO51" i="22"/>
  <c r="AO59" i="22"/>
  <c r="BG59" i="22"/>
  <c r="AO76" i="22"/>
  <c r="BG76" i="22"/>
  <c r="AO88" i="22"/>
  <c r="BG88" i="22"/>
  <c r="AO94" i="22"/>
  <c r="BG94" i="22"/>
  <c r="AO105" i="22"/>
  <c r="BG105" i="22"/>
  <c r="AO118" i="22"/>
  <c r="BG118" i="22"/>
  <c r="AF134" i="22"/>
  <c r="AX134" i="22"/>
  <c r="AO138" i="22"/>
  <c r="AF142" i="22"/>
  <c r="AX142" i="22"/>
  <c r="AO16" i="22"/>
  <c r="AO24" i="22"/>
  <c r="AO32" i="22"/>
  <c r="AO40" i="22"/>
  <c r="AO48" i="22"/>
  <c r="AO56" i="22"/>
  <c r="AO64" i="22"/>
  <c r="AD68" i="22"/>
  <c r="BI68" i="22"/>
  <c r="AO70" i="22"/>
  <c r="AO81" i="22"/>
  <c r="AO85" i="22"/>
  <c r="AO102" i="22"/>
  <c r="BA108" i="22"/>
  <c r="AO115" i="22"/>
  <c r="AO123" i="22"/>
  <c r="AO129" i="22"/>
  <c r="AO132" i="22"/>
  <c r="AO135" i="22"/>
  <c r="AO143" i="22"/>
  <c r="Z150" i="22"/>
  <c r="AO150" i="22"/>
  <c r="AO13" i="22"/>
  <c r="AO21" i="22"/>
  <c r="AF25" i="22"/>
  <c r="AO29" i="22"/>
  <c r="AO37" i="22"/>
  <c r="AO45" i="22"/>
  <c r="AO53" i="22"/>
  <c r="AO61" i="22"/>
  <c r="AF65" i="22"/>
  <c r="AF74" i="22"/>
  <c r="AO78" i="22"/>
  <c r="AO90" i="22"/>
  <c r="AO96" i="22"/>
  <c r="AO99" i="22"/>
  <c r="Z108" i="22"/>
  <c r="AO109" i="22"/>
  <c r="AD110" i="22"/>
  <c r="BI110" i="22"/>
  <c r="AO112" i="22"/>
  <c r="AO120" i="22"/>
  <c r="AO126" i="22"/>
  <c r="AO140" i="22"/>
  <c r="AO18" i="22"/>
  <c r="AO26" i="22"/>
  <c r="AO34" i="22"/>
  <c r="AF38" i="22"/>
  <c r="AO42" i="22"/>
  <c r="AF46" i="22"/>
  <c r="AO50" i="22"/>
  <c r="AF54" i="22"/>
  <c r="AO58" i="22"/>
  <c r="AF62" i="22"/>
  <c r="AO66" i="22"/>
  <c r="AO72" i="22"/>
  <c r="AO75" i="22"/>
  <c r="AO87" i="22"/>
  <c r="AO104" i="22"/>
  <c r="AO117" i="22"/>
  <c r="AO137" i="22"/>
  <c r="AO9" i="22"/>
  <c r="AO15" i="22"/>
  <c r="AO23" i="22"/>
  <c r="AF27" i="22"/>
  <c r="AO31" i="22"/>
  <c r="AF35" i="22"/>
  <c r="AO39" i="22"/>
  <c r="AO47" i="22"/>
  <c r="AO55" i="22"/>
  <c r="AO63" i="22"/>
  <c r="AO69" i="22"/>
  <c r="AF76" i="22"/>
  <c r="AO80" i="22"/>
  <c r="AO84" i="22"/>
  <c r="AF88" i="22"/>
  <c r="AF94" i="22"/>
  <c r="AO101" i="22"/>
  <c r="AF105" i="22"/>
  <c r="AO114" i="22"/>
  <c r="AF118" i="22"/>
  <c r="AO122" i="22"/>
  <c r="AO128" i="22"/>
  <c r="AO131" i="22"/>
  <c r="AO134" i="22"/>
  <c r="AO142" i="22"/>
  <c r="P18" i="15"/>
  <c r="AD92" i="22" l="1"/>
  <c r="AD149" i="22"/>
  <c r="BT124" i="22"/>
  <c r="AD124" i="22"/>
  <c r="BM82" i="22"/>
  <c r="AV82" i="22"/>
  <c r="BT93" i="22"/>
  <c r="AD93" i="22"/>
  <c r="BI93" i="22"/>
  <c r="BT107" i="22"/>
  <c r="AD107" i="22"/>
  <c r="BO82" i="22"/>
  <c r="BE82" i="22"/>
  <c r="AD108" i="22"/>
  <c r="BT108" i="22"/>
  <c r="BI108" i="22"/>
  <c r="BI82" i="22"/>
  <c r="AD82" i="22"/>
  <c r="BT82" i="22"/>
  <c r="BK108" i="22"/>
  <c r="AM108" i="22"/>
  <c r="BE108" i="22"/>
  <c r="BO108" i="22"/>
  <c r="BT150" i="22"/>
  <c r="BI150" i="22"/>
  <c r="AD150" i="22"/>
  <c r="I113" i="15"/>
  <c r="I167" i="15"/>
  <c r="U148" i="3"/>
  <c r="BU148" i="3" s="1"/>
  <c r="BT11" i="3"/>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2" i="3"/>
  <c r="BT133" i="3"/>
  <c r="BT134" i="3"/>
  <c r="BT135" i="3"/>
  <c r="BT136" i="3"/>
  <c r="BT137" i="3"/>
  <c r="BT138" i="3"/>
  <c r="BT139" i="3"/>
  <c r="BT140" i="3"/>
  <c r="BT141" i="3"/>
  <c r="BT142" i="3"/>
  <c r="BT143" i="3"/>
  <c r="BT144" i="3"/>
  <c r="BT145" i="3"/>
  <c r="BT146" i="3"/>
  <c r="BT148" i="3"/>
  <c r="BT150" i="3"/>
  <c r="BT153" i="3"/>
  <c r="BT154" i="3"/>
  <c r="BT10" i="3"/>
  <c r="BT9" i="3"/>
  <c r="BV9" i="3"/>
  <c r="BV10" i="3"/>
  <c r="BV11" i="3"/>
  <c r="BV12" i="3"/>
  <c r="BV13" i="3"/>
  <c r="BV14" i="3"/>
  <c r="BV15" i="3"/>
  <c r="BV16" i="3"/>
  <c r="BV17" i="3"/>
  <c r="BV18" i="3"/>
  <c r="BV19" i="3"/>
  <c r="BV20" i="3"/>
  <c r="BV21" i="3"/>
  <c r="BV22" i="3"/>
  <c r="BV23" i="3"/>
  <c r="BV24" i="3"/>
  <c r="BV25" i="3"/>
  <c r="BV26" i="3"/>
  <c r="BV27" i="3"/>
  <c r="BV28" i="3"/>
  <c r="BV29" i="3"/>
  <c r="BV30" i="3"/>
  <c r="BV31" i="3"/>
  <c r="BV32" i="3"/>
  <c r="BV33" i="3"/>
  <c r="BV34" i="3"/>
  <c r="BV35" i="3"/>
  <c r="BV36" i="3"/>
  <c r="BV37" i="3"/>
  <c r="BV38" i="3"/>
  <c r="BV39" i="3"/>
  <c r="BV40" i="3"/>
  <c r="BV41" i="3"/>
  <c r="BV42" i="3"/>
  <c r="BV43" i="3"/>
  <c r="BV45" i="3"/>
  <c r="BV46" i="3"/>
  <c r="BV47" i="3"/>
  <c r="BV48" i="3"/>
  <c r="BV49" i="3"/>
  <c r="BV50" i="3"/>
  <c r="BV51" i="3"/>
  <c r="BV53" i="3"/>
  <c r="BV52" i="3"/>
  <c r="BV55" i="3"/>
  <c r="BV56" i="3"/>
  <c r="BV57" i="3"/>
  <c r="BV58" i="3"/>
  <c r="BV59" i="3"/>
  <c r="BV60" i="3"/>
  <c r="BV61" i="3"/>
  <c r="BV62" i="3"/>
  <c r="BV63" i="3"/>
  <c r="BV64" i="3"/>
  <c r="BV65" i="3"/>
  <c r="BV66" i="3"/>
  <c r="BV70" i="3"/>
  <c r="BV71" i="3"/>
  <c r="BV72" i="3"/>
  <c r="BV75" i="3"/>
  <c r="BV76" i="3"/>
  <c r="BV77" i="3"/>
  <c r="BV78" i="3"/>
  <c r="BV79" i="3"/>
  <c r="BV81" i="3"/>
  <c r="BV82" i="3"/>
  <c r="BV84" i="3"/>
  <c r="BV85" i="3"/>
  <c r="BV86" i="3"/>
  <c r="BV87" i="3"/>
  <c r="BV88" i="3"/>
  <c r="BV89" i="3"/>
  <c r="BV90" i="3"/>
  <c r="BV91" i="3"/>
  <c r="BV92" i="3"/>
  <c r="BV95" i="3"/>
  <c r="BV96" i="3"/>
  <c r="BV97" i="3"/>
  <c r="BV98" i="3"/>
  <c r="BV100" i="3"/>
  <c r="BV101" i="3"/>
  <c r="BV102" i="3"/>
  <c r="BV103" i="3"/>
  <c r="BV104" i="3"/>
  <c r="BV105" i="3"/>
  <c r="BV106" i="3"/>
  <c r="BV107" i="3"/>
  <c r="BV110" i="3"/>
  <c r="BV112" i="3"/>
  <c r="BV113" i="3"/>
  <c r="BV114" i="3"/>
  <c r="BV115" i="3"/>
  <c r="BV116" i="3"/>
  <c r="BV117" i="3"/>
  <c r="BV118" i="3"/>
  <c r="BV119" i="3"/>
  <c r="BV120" i="3"/>
  <c r="BV121" i="3"/>
  <c r="BV122" i="3"/>
  <c r="BV123" i="3"/>
  <c r="BV124" i="3"/>
  <c r="BV127" i="3"/>
  <c r="BV128" i="3"/>
  <c r="BV129" i="3"/>
  <c r="BV130" i="3"/>
  <c r="BV133" i="3"/>
  <c r="BV134" i="3"/>
  <c r="BV136" i="3"/>
  <c r="BV137" i="3"/>
  <c r="BV138" i="3"/>
  <c r="BV139" i="3"/>
  <c r="BV140" i="3"/>
  <c r="BV141" i="3"/>
  <c r="BV142" i="3"/>
  <c r="BV143" i="3"/>
  <c r="BV144" i="3"/>
  <c r="BV145" i="3"/>
  <c r="BV146" i="3"/>
  <c r="BV147" i="3"/>
  <c r="BV148" i="3"/>
  <c r="BV149" i="3"/>
  <c r="BT8" i="3"/>
  <c r="BV8" i="3"/>
  <c r="AO146" i="3"/>
  <c r="AE146" i="3"/>
  <c r="AM9" i="3" l="1"/>
  <c r="H115" i="15"/>
  <c r="U167" i="15" l="1"/>
  <c r="T167" i="15"/>
  <c r="Q167" i="15"/>
  <c r="P167" i="15"/>
  <c r="M167" i="15"/>
  <c r="L167" i="15"/>
  <c r="H167" i="15"/>
  <c r="F167" i="15"/>
  <c r="E167" i="15"/>
  <c r="BI89" i="3"/>
  <c r="V167" i="15" s="1"/>
  <c r="BH89" i="3"/>
  <c r="BG89" i="3"/>
  <c r="AY89" i="3"/>
  <c r="R167" i="15" s="1"/>
  <c r="AX89" i="3"/>
  <c r="AW89" i="3"/>
  <c r="AO89" i="3"/>
  <c r="N167" i="15" s="1"/>
  <c r="AN89" i="3"/>
  <c r="AM89" i="3"/>
  <c r="AE89" i="3"/>
  <c r="J167" i="15" s="1"/>
  <c r="AD89" i="3"/>
  <c r="AC89" i="3"/>
  <c r="V89" i="3"/>
  <c r="BJ89" i="3" s="1"/>
  <c r="U89" i="3"/>
  <c r="BU89" i="3" s="1"/>
  <c r="V113" i="15"/>
  <c r="U113" i="15"/>
  <c r="T113" i="15"/>
  <c r="R113" i="15"/>
  <c r="Q113" i="15"/>
  <c r="P113" i="15"/>
  <c r="M113" i="15"/>
  <c r="L113" i="15"/>
  <c r="H113" i="15"/>
  <c r="T112" i="15"/>
  <c r="P112" i="15"/>
  <c r="L112" i="15"/>
  <c r="H112" i="15"/>
  <c r="F113" i="15"/>
  <c r="F112" i="15"/>
  <c r="D112" i="15"/>
  <c r="U82" i="4"/>
  <c r="U83" i="4" s="1"/>
  <c r="T160" i="15"/>
  <c r="P160" i="15"/>
  <c r="L160" i="15"/>
  <c r="H160" i="15"/>
  <c r="T159" i="15"/>
  <c r="P159" i="15"/>
  <c r="L159" i="15"/>
  <c r="H159" i="15"/>
  <c r="F160" i="15"/>
  <c r="F159" i="15"/>
  <c r="T157" i="15"/>
  <c r="P157" i="15"/>
  <c r="L157" i="15"/>
  <c r="H157" i="15"/>
  <c r="F157" i="15"/>
  <c r="D157" i="15"/>
  <c r="D208" i="15"/>
  <c r="V81" i="15"/>
  <c r="T81" i="15"/>
  <c r="R81" i="15"/>
  <c r="P81" i="15"/>
  <c r="N81" i="15"/>
  <c r="L81" i="15"/>
  <c r="J81" i="15"/>
  <c r="AF89" i="3" l="1"/>
  <c r="AZ89" i="3"/>
  <c r="AP89" i="3"/>
  <c r="V80" i="15" l="1"/>
  <c r="T80" i="15"/>
  <c r="R80" i="15"/>
  <c r="P80" i="15"/>
  <c r="N80" i="15"/>
  <c r="L80" i="15"/>
  <c r="J80" i="15"/>
  <c r="P79" i="15"/>
  <c r="L79" i="15"/>
  <c r="F81" i="15"/>
  <c r="F80" i="15"/>
  <c r="F79" i="15"/>
  <c r="BS138" i="3"/>
  <c r="BQ138" i="3"/>
  <c r="BR138" i="3"/>
  <c r="U79" i="15" s="1"/>
  <c r="BO138" i="3"/>
  <c r="BL138" i="3"/>
  <c r="I79" i="15" s="1"/>
  <c r="BM138" i="3"/>
  <c r="BI138" i="3"/>
  <c r="V79" i="15" s="1"/>
  <c r="BH138" i="3"/>
  <c r="BG138" i="3"/>
  <c r="AX138" i="3"/>
  <c r="AY138" i="3"/>
  <c r="R79" i="15" s="1"/>
  <c r="AW138" i="3"/>
  <c r="BP138" i="3"/>
  <c r="Q79" i="15" s="1"/>
  <c r="AO138" i="3"/>
  <c r="N79" i="15" s="1"/>
  <c r="AN138" i="3"/>
  <c r="AD138" i="3"/>
  <c r="AE138" i="3"/>
  <c r="J79" i="15" s="1"/>
  <c r="AD137" i="3"/>
  <c r="AM138" i="3"/>
  <c r="BN138" i="3"/>
  <c r="M79" i="15" s="1"/>
  <c r="AC138" i="3"/>
  <c r="V138" i="3"/>
  <c r="AP138" i="3" s="1"/>
  <c r="U138" i="3"/>
  <c r="BU138" i="3" l="1"/>
  <c r="Y138" i="3"/>
  <c r="BJ138" i="3"/>
  <c r="AZ138" i="3"/>
  <c r="AF138" i="3"/>
  <c r="D32" i="15" l="1"/>
  <c r="M78" i="15"/>
  <c r="M75" i="15"/>
  <c r="D93" i="15"/>
  <c r="D92" i="15"/>
  <c r="D91" i="15"/>
  <c r="D90" i="15"/>
  <c r="D89" i="15"/>
  <c r="D88" i="15"/>
  <c r="D86" i="15"/>
  <c r="D85" i="15"/>
  <c r="D84" i="15"/>
  <c r="D83" i="15"/>
  <c r="D82" i="15"/>
  <c r="D94" i="15"/>
  <c r="D101" i="15"/>
  <c r="D99" i="15"/>
  <c r="D98" i="15"/>
  <c r="E96" i="15"/>
  <c r="D96" i="15"/>
  <c r="M71" i="15"/>
  <c r="M70" i="15"/>
  <c r="M69" i="15"/>
  <c r="M68" i="15"/>
  <c r="M67" i="15"/>
  <c r="M66" i="15"/>
  <c r="M65" i="15"/>
  <c r="D73" i="15"/>
  <c r="D72" i="15"/>
  <c r="D63" i="15"/>
  <c r="D61" i="15"/>
  <c r="D60" i="15"/>
  <c r="D59" i="15"/>
  <c r="D58" i="15"/>
  <c r="D33" i="15"/>
  <c r="D31" i="15"/>
  <c r="D30" i="15"/>
  <c r="D29" i="15"/>
  <c r="D28" i="15"/>
  <c r="D27" i="15"/>
  <c r="D25" i="15"/>
  <c r="AD9" i="3"/>
  <c r="H34" i="15" s="1"/>
  <c r="T216" i="15" l="1"/>
  <c r="T217" i="15" s="1"/>
  <c r="P216" i="15"/>
  <c r="P217" i="15" s="1"/>
  <c r="L216" i="15"/>
  <c r="L217" i="15" s="1"/>
  <c r="H216" i="15"/>
  <c r="H217" i="15" s="1"/>
  <c r="T21" i="15"/>
  <c r="P21" i="15"/>
  <c r="L21" i="15"/>
  <c r="F21" i="15"/>
  <c r="D21" i="15"/>
  <c r="T214" i="15"/>
  <c r="P214" i="15"/>
  <c r="L214" i="15"/>
  <c r="H214" i="15"/>
  <c r="T213" i="15"/>
  <c r="P213" i="15"/>
  <c r="L213" i="15"/>
  <c r="H213" i="15"/>
  <c r="T212" i="15"/>
  <c r="P212" i="15"/>
  <c r="L212" i="15"/>
  <c r="H212" i="15"/>
  <c r="F214" i="15"/>
  <c r="E214" i="15"/>
  <c r="D214" i="15"/>
  <c r="F213" i="15"/>
  <c r="D213" i="15"/>
  <c r="F212" i="15"/>
  <c r="E212" i="15"/>
  <c r="D212" i="15"/>
  <c r="T209" i="15"/>
  <c r="P209" i="15"/>
  <c r="L209" i="15"/>
  <c r="H209" i="15"/>
  <c r="T158" i="15"/>
  <c r="P158" i="15"/>
  <c r="L158" i="15"/>
  <c r="H158" i="15"/>
  <c r="T207" i="15"/>
  <c r="P207" i="15"/>
  <c r="L207" i="15"/>
  <c r="H207" i="15"/>
  <c r="T205" i="15"/>
  <c r="P205" i="15"/>
  <c r="L205" i="15"/>
  <c r="H205" i="15"/>
  <c r="T204" i="15"/>
  <c r="P204" i="15"/>
  <c r="L204" i="15"/>
  <c r="H204" i="15"/>
  <c r="T203" i="15"/>
  <c r="P203" i="15"/>
  <c r="L203" i="15"/>
  <c r="H203" i="15"/>
  <c r="F209" i="15"/>
  <c r="D209" i="15"/>
  <c r="F158" i="15"/>
  <c r="F207" i="15"/>
  <c r="D207" i="15"/>
  <c r="F205" i="15"/>
  <c r="F204" i="15"/>
  <c r="E204" i="15"/>
  <c r="D204" i="15"/>
  <c r="F203" i="15"/>
  <c r="E203" i="15"/>
  <c r="D203" i="15"/>
  <c r="T201" i="15"/>
  <c r="P201" i="15"/>
  <c r="L201" i="15"/>
  <c r="H201" i="15"/>
  <c r="T200" i="15"/>
  <c r="P200" i="15"/>
  <c r="L200" i="15"/>
  <c r="T199" i="15"/>
  <c r="P199" i="15"/>
  <c r="L199" i="15"/>
  <c r="H199" i="15"/>
  <c r="F201" i="15"/>
  <c r="D201" i="15"/>
  <c r="F200" i="15"/>
  <c r="D200" i="15"/>
  <c r="F199" i="15"/>
  <c r="E199" i="15"/>
  <c r="D199" i="15"/>
  <c r="T197" i="15"/>
  <c r="P197" i="15"/>
  <c r="L197" i="15"/>
  <c r="H197" i="15"/>
  <c r="F197" i="15"/>
  <c r="E197" i="15"/>
  <c r="D197" i="15"/>
  <c r="T196" i="15"/>
  <c r="P196" i="15"/>
  <c r="L196" i="15"/>
  <c r="H196" i="15"/>
  <c r="F196" i="15"/>
  <c r="E196" i="15"/>
  <c r="D196" i="15"/>
  <c r="T194" i="15"/>
  <c r="P194" i="15"/>
  <c r="L194" i="15"/>
  <c r="H194" i="15"/>
  <c r="T185" i="15"/>
  <c r="P185" i="15"/>
  <c r="L185" i="15"/>
  <c r="H185" i="15"/>
  <c r="T193" i="15"/>
  <c r="P193" i="15"/>
  <c r="L193" i="15"/>
  <c r="H193" i="15"/>
  <c r="T192" i="15"/>
  <c r="P192" i="15"/>
  <c r="L192" i="15"/>
  <c r="H192" i="15"/>
  <c r="T191" i="15"/>
  <c r="P191" i="15"/>
  <c r="L191" i="15"/>
  <c r="H191" i="15"/>
  <c r="T190" i="15"/>
  <c r="P190" i="15"/>
  <c r="L190" i="15"/>
  <c r="H190" i="15"/>
  <c r="T189" i="15"/>
  <c r="P189" i="15"/>
  <c r="L189" i="15"/>
  <c r="H189" i="15"/>
  <c r="T188" i="15"/>
  <c r="P188" i="15"/>
  <c r="L188" i="15"/>
  <c r="H188" i="15"/>
  <c r="T187" i="15"/>
  <c r="P187" i="15"/>
  <c r="L187" i="15"/>
  <c r="H187" i="15"/>
  <c r="T186" i="15"/>
  <c r="P186" i="15"/>
  <c r="L186" i="15"/>
  <c r="H186" i="15"/>
  <c r="T184" i="15"/>
  <c r="P184" i="15"/>
  <c r="L184" i="15"/>
  <c r="H184" i="15"/>
  <c r="T183" i="15"/>
  <c r="P183" i="15"/>
  <c r="L183" i="15"/>
  <c r="H183" i="15"/>
  <c r="T182" i="15"/>
  <c r="P182" i="15"/>
  <c r="L182" i="15"/>
  <c r="H182" i="15"/>
  <c r="T181" i="15"/>
  <c r="P181" i="15"/>
  <c r="L181" i="15"/>
  <c r="H181" i="15"/>
  <c r="T180" i="15"/>
  <c r="P180" i="15"/>
  <c r="L180" i="15"/>
  <c r="H180" i="15"/>
  <c r="T179" i="15"/>
  <c r="P179" i="15"/>
  <c r="L179" i="15"/>
  <c r="H179" i="15"/>
  <c r="T178" i="15"/>
  <c r="P178" i="15"/>
  <c r="L178" i="15"/>
  <c r="H178" i="15"/>
  <c r="T177" i="15"/>
  <c r="P177" i="15"/>
  <c r="L177" i="15"/>
  <c r="H177" i="15"/>
  <c r="T176" i="15"/>
  <c r="P176" i="15"/>
  <c r="L176" i="15"/>
  <c r="H176" i="15"/>
  <c r="T175" i="15"/>
  <c r="P175" i="15"/>
  <c r="L175" i="15"/>
  <c r="H175" i="15"/>
  <c r="T174" i="15"/>
  <c r="P174" i="15"/>
  <c r="L174" i="15"/>
  <c r="H174" i="15"/>
  <c r="T173" i="15"/>
  <c r="P173" i="15"/>
  <c r="L173" i="15"/>
  <c r="H173" i="15"/>
  <c r="F194" i="15"/>
  <c r="F193" i="15"/>
  <c r="D194" i="15"/>
  <c r="E193" i="15"/>
  <c r="D193" i="15"/>
  <c r="F192" i="15"/>
  <c r="D192" i="15"/>
  <c r="F191" i="15"/>
  <c r="F190" i="15"/>
  <c r="D191" i="15"/>
  <c r="D190" i="15"/>
  <c r="F189" i="15"/>
  <c r="F188" i="15"/>
  <c r="D189" i="15"/>
  <c r="E188" i="15"/>
  <c r="D188" i="15"/>
  <c r="F187" i="15"/>
  <c r="D187" i="15"/>
  <c r="F186" i="15"/>
  <c r="D186" i="15"/>
  <c r="F185" i="15"/>
  <c r="D185" i="15"/>
  <c r="F184" i="15"/>
  <c r="D184" i="15"/>
  <c r="F183" i="15"/>
  <c r="D183" i="15"/>
  <c r="F182" i="15"/>
  <c r="F181" i="15"/>
  <c r="D182" i="15"/>
  <c r="E181" i="15"/>
  <c r="D181" i="15"/>
  <c r="F180" i="15"/>
  <c r="F179" i="15"/>
  <c r="E179" i="15"/>
  <c r="D180" i="15"/>
  <c r="D179" i="15"/>
  <c r="F178" i="15"/>
  <c r="F177" i="15"/>
  <c r="E177" i="15"/>
  <c r="D178" i="15"/>
  <c r="D177" i="15"/>
  <c r="F176" i="15"/>
  <c r="F175" i="15"/>
  <c r="E175" i="15"/>
  <c r="D176" i="15"/>
  <c r="D175" i="15"/>
  <c r="F174" i="15"/>
  <c r="D174" i="15"/>
  <c r="F173" i="15"/>
  <c r="E173" i="15"/>
  <c r="D173" i="15"/>
  <c r="T170" i="15"/>
  <c r="P170" i="15"/>
  <c r="L170" i="15"/>
  <c r="H170" i="15"/>
  <c r="F170" i="15"/>
  <c r="F169" i="15"/>
  <c r="F168" i="15"/>
  <c r="F166" i="15"/>
  <c r="F165" i="15"/>
  <c r="F164" i="15"/>
  <c r="F163" i="15"/>
  <c r="T169" i="15"/>
  <c r="P169" i="15"/>
  <c r="L169" i="15"/>
  <c r="H169" i="15"/>
  <c r="T168" i="15"/>
  <c r="P168" i="15"/>
  <c r="L168" i="15"/>
  <c r="H168" i="15"/>
  <c r="T166" i="15"/>
  <c r="P166" i="15"/>
  <c r="L166" i="15"/>
  <c r="H166" i="15"/>
  <c r="T165" i="15"/>
  <c r="P165" i="15"/>
  <c r="L165" i="15"/>
  <c r="H165" i="15"/>
  <c r="T164" i="15"/>
  <c r="P164" i="15"/>
  <c r="L164" i="15"/>
  <c r="H164" i="15"/>
  <c r="T163" i="15"/>
  <c r="P163" i="15"/>
  <c r="L163" i="15"/>
  <c r="H163" i="15"/>
  <c r="T162" i="15"/>
  <c r="P162" i="15"/>
  <c r="L162" i="15"/>
  <c r="H162" i="15"/>
  <c r="E170" i="15"/>
  <c r="E169" i="15"/>
  <c r="E168" i="15"/>
  <c r="E166" i="15"/>
  <c r="E165" i="15"/>
  <c r="E164" i="15"/>
  <c r="E163" i="15"/>
  <c r="F162" i="15"/>
  <c r="E162" i="15"/>
  <c r="D162" i="15"/>
  <c r="D79" i="15"/>
  <c r="T208" i="15"/>
  <c r="P208" i="15"/>
  <c r="L208" i="15"/>
  <c r="H208" i="15"/>
  <c r="D81" i="15"/>
  <c r="D80" i="15"/>
  <c r="T156" i="15"/>
  <c r="P156" i="15"/>
  <c r="L156" i="15"/>
  <c r="H156" i="15"/>
  <c r="T155" i="15"/>
  <c r="P155" i="15"/>
  <c r="L155" i="15"/>
  <c r="H155" i="15"/>
  <c r="T154" i="15"/>
  <c r="P154" i="15"/>
  <c r="L154" i="15"/>
  <c r="H154" i="15"/>
  <c r="T153" i="15"/>
  <c r="P153" i="15"/>
  <c r="L153" i="15"/>
  <c r="H153" i="15"/>
  <c r="T152" i="15"/>
  <c r="P152" i="15"/>
  <c r="L152" i="15"/>
  <c r="H152" i="15"/>
  <c r="T151" i="15"/>
  <c r="P151" i="15"/>
  <c r="L151" i="15"/>
  <c r="H151" i="15"/>
  <c r="T150" i="15"/>
  <c r="P150" i="15"/>
  <c r="L150" i="15"/>
  <c r="H150" i="15"/>
  <c r="F208" i="15"/>
  <c r="F156" i="15"/>
  <c r="F155" i="15"/>
  <c r="F154" i="15"/>
  <c r="F153" i="15"/>
  <c r="F152" i="15"/>
  <c r="F151" i="15"/>
  <c r="F150" i="15"/>
  <c r="E150" i="15"/>
  <c r="D156" i="15"/>
  <c r="D155" i="15"/>
  <c r="D154" i="15"/>
  <c r="D153" i="15"/>
  <c r="D152" i="15"/>
  <c r="D151" i="15"/>
  <c r="D150" i="15"/>
  <c r="T148" i="15"/>
  <c r="P148" i="15"/>
  <c r="L148" i="15"/>
  <c r="H148" i="15"/>
  <c r="T147" i="15"/>
  <c r="P147" i="15"/>
  <c r="L147" i="15"/>
  <c r="H147" i="15"/>
  <c r="T146" i="15"/>
  <c r="P146" i="15"/>
  <c r="L146" i="15"/>
  <c r="H146" i="15"/>
  <c r="T145" i="15"/>
  <c r="P145" i="15"/>
  <c r="L145" i="15"/>
  <c r="H145" i="15"/>
  <c r="T144" i="15"/>
  <c r="P144" i="15"/>
  <c r="L144" i="15"/>
  <c r="H144" i="15"/>
  <c r="T143" i="15"/>
  <c r="P143" i="15"/>
  <c r="L143" i="15"/>
  <c r="H143" i="15"/>
  <c r="T142" i="15"/>
  <c r="P142" i="15"/>
  <c r="L142" i="15"/>
  <c r="H142" i="15"/>
  <c r="T141" i="15"/>
  <c r="P141" i="15"/>
  <c r="L141" i="15"/>
  <c r="H141" i="15"/>
  <c r="F148" i="15"/>
  <c r="D148" i="15"/>
  <c r="F147" i="15"/>
  <c r="D147" i="15"/>
  <c r="F146" i="15"/>
  <c r="D146" i="15"/>
  <c r="F145" i="15"/>
  <c r="D145" i="15"/>
  <c r="F144" i="15"/>
  <c r="F143" i="15"/>
  <c r="F142" i="15"/>
  <c r="D142" i="15"/>
  <c r="F141" i="15"/>
  <c r="E141" i="15"/>
  <c r="D141" i="15"/>
  <c r="T139" i="15"/>
  <c r="P139" i="15"/>
  <c r="L139" i="15"/>
  <c r="H139" i="15"/>
  <c r="T138" i="15"/>
  <c r="P138" i="15"/>
  <c r="L138" i="15"/>
  <c r="H138" i="15"/>
  <c r="T137" i="15"/>
  <c r="P137" i="15"/>
  <c r="L137" i="15"/>
  <c r="H137" i="15"/>
  <c r="T136" i="15"/>
  <c r="P136" i="15"/>
  <c r="L136" i="15"/>
  <c r="H136" i="15"/>
  <c r="T134" i="15"/>
  <c r="P134" i="15"/>
  <c r="L134" i="15"/>
  <c r="H134" i="15"/>
  <c r="T133" i="15"/>
  <c r="P133" i="15"/>
  <c r="L133" i="15"/>
  <c r="H133" i="15"/>
  <c r="T132" i="15"/>
  <c r="P132" i="15"/>
  <c r="L132" i="15"/>
  <c r="H132" i="15"/>
  <c r="T131" i="15"/>
  <c r="P131" i="15"/>
  <c r="L131" i="15"/>
  <c r="H131" i="15"/>
  <c r="T130" i="15"/>
  <c r="P130" i="15"/>
  <c r="L130" i="15"/>
  <c r="H130" i="15"/>
  <c r="T129" i="15"/>
  <c r="P129" i="15"/>
  <c r="L129" i="15"/>
  <c r="H129" i="15"/>
  <c r="T128" i="15"/>
  <c r="P128" i="15"/>
  <c r="L128" i="15"/>
  <c r="H128" i="15"/>
  <c r="T127" i="15"/>
  <c r="P127" i="15"/>
  <c r="L127" i="15"/>
  <c r="H127" i="15"/>
  <c r="T126" i="15"/>
  <c r="P126" i="15"/>
  <c r="L126" i="15"/>
  <c r="H126" i="15"/>
  <c r="T125" i="15"/>
  <c r="P125" i="15"/>
  <c r="L125" i="15"/>
  <c r="H125" i="15"/>
  <c r="T124" i="15"/>
  <c r="P124" i="15"/>
  <c r="L124" i="15"/>
  <c r="H124" i="15"/>
  <c r="T123" i="15"/>
  <c r="P123" i="15"/>
  <c r="L123" i="15"/>
  <c r="H123" i="15"/>
  <c r="T122" i="15"/>
  <c r="P122" i="15"/>
  <c r="L122" i="15"/>
  <c r="H122" i="15"/>
  <c r="T121" i="15"/>
  <c r="P121" i="15"/>
  <c r="L121" i="15"/>
  <c r="H121" i="15"/>
  <c r="T120" i="15"/>
  <c r="P120" i="15"/>
  <c r="L120" i="15"/>
  <c r="H120" i="15"/>
  <c r="T119" i="15"/>
  <c r="P119" i="15"/>
  <c r="L119" i="15"/>
  <c r="H119" i="15"/>
  <c r="T118" i="15"/>
  <c r="P118" i="15"/>
  <c r="L118" i="15"/>
  <c r="F139" i="15"/>
  <c r="F138" i="15"/>
  <c r="F137" i="15"/>
  <c r="F136" i="15"/>
  <c r="F134" i="15"/>
  <c r="F133" i="15"/>
  <c r="F132" i="15"/>
  <c r="F131" i="15"/>
  <c r="F130" i="15"/>
  <c r="F129" i="15"/>
  <c r="F128" i="15"/>
  <c r="F127" i="15"/>
  <c r="F126" i="15"/>
  <c r="F125" i="15"/>
  <c r="F124" i="15"/>
  <c r="F123" i="15"/>
  <c r="F122" i="15"/>
  <c r="F121" i="15"/>
  <c r="F120" i="15"/>
  <c r="D139" i="15"/>
  <c r="D138" i="15"/>
  <c r="D137" i="15"/>
  <c r="D136" i="15"/>
  <c r="E133" i="15"/>
  <c r="D134" i="15"/>
  <c r="D133" i="15"/>
  <c r="D132" i="15"/>
  <c r="D131" i="15"/>
  <c r="D130" i="15"/>
  <c r="D129" i="15"/>
  <c r="D128" i="15"/>
  <c r="D127" i="15"/>
  <c r="D126" i="15"/>
  <c r="D125" i="15"/>
  <c r="D124" i="15"/>
  <c r="D122" i="15"/>
  <c r="D121" i="15"/>
  <c r="D120" i="15"/>
  <c r="F119" i="15"/>
  <c r="D119" i="15"/>
  <c r="F118" i="15"/>
  <c r="E118" i="15"/>
  <c r="D118" i="15"/>
  <c r="T20" i="15"/>
  <c r="P20" i="15"/>
  <c r="L20" i="15"/>
  <c r="D20" i="15"/>
  <c r="T35" i="15"/>
  <c r="P35" i="15"/>
  <c r="L35" i="15"/>
  <c r="F35" i="15"/>
  <c r="E35" i="15"/>
  <c r="D35" i="15"/>
  <c r="T116" i="15"/>
  <c r="P116" i="15"/>
  <c r="L116" i="15"/>
  <c r="H116" i="15"/>
  <c r="T115" i="15"/>
  <c r="P115" i="15"/>
  <c r="L115" i="15"/>
  <c r="E115" i="15"/>
  <c r="T114" i="15"/>
  <c r="P114" i="15"/>
  <c r="L114" i="15"/>
  <c r="H114" i="15"/>
  <c r="E114" i="15"/>
  <c r="T24" i="15"/>
  <c r="P24" i="15"/>
  <c r="L24" i="15"/>
  <c r="F24" i="15"/>
  <c r="D24" i="15"/>
  <c r="T111" i="15"/>
  <c r="P111" i="15"/>
  <c r="L111" i="15"/>
  <c r="H111" i="15"/>
  <c r="T23" i="15"/>
  <c r="P23" i="15"/>
  <c r="L23" i="15"/>
  <c r="T22" i="15"/>
  <c r="P22" i="15"/>
  <c r="L22" i="15"/>
  <c r="F23" i="15"/>
  <c r="F22" i="15"/>
  <c r="D23" i="15"/>
  <c r="D22" i="15"/>
  <c r="T110" i="15"/>
  <c r="P110" i="15"/>
  <c r="L110" i="15"/>
  <c r="H110" i="15"/>
  <c r="T108" i="15"/>
  <c r="P108" i="15"/>
  <c r="L108" i="15"/>
  <c r="H108" i="15"/>
  <c r="F108" i="15"/>
  <c r="D108" i="15"/>
  <c r="T107" i="15"/>
  <c r="P107" i="15"/>
  <c r="L107" i="15"/>
  <c r="H107" i="15"/>
  <c r="D116" i="15" l="1"/>
  <c r="F115" i="15"/>
  <c r="D115" i="15"/>
  <c r="F114" i="15"/>
  <c r="D114" i="15"/>
  <c r="F111" i="15"/>
  <c r="D111" i="15"/>
  <c r="F110" i="15"/>
  <c r="D110" i="15"/>
  <c r="F107" i="15"/>
  <c r="D107" i="15"/>
  <c r="F106" i="15"/>
  <c r="D106" i="15"/>
  <c r="T106" i="15"/>
  <c r="P106" i="15"/>
  <c r="L106" i="15"/>
  <c r="H106" i="15"/>
  <c r="T105" i="15"/>
  <c r="P105" i="15"/>
  <c r="L105" i="15"/>
  <c r="H105" i="15"/>
  <c r="F105" i="15"/>
  <c r="E105" i="15"/>
  <c r="D105" i="15"/>
  <c r="T19" i="15"/>
  <c r="P19" i="15"/>
  <c r="L19" i="15"/>
  <c r="T18" i="15"/>
  <c r="L18" i="15"/>
  <c r="D18" i="15"/>
  <c r="T34" i="15"/>
  <c r="P34" i="15"/>
  <c r="L34" i="15"/>
  <c r="E34" i="15"/>
  <c r="D34" i="15"/>
  <c r="T78" i="15"/>
  <c r="P78" i="15"/>
  <c r="L78" i="15"/>
  <c r="T75" i="15"/>
  <c r="P75" i="15"/>
  <c r="L75" i="15"/>
  <c r="F75" i="15"/>
  <c r="E75" i="15"/>
  <c r="D78" i="15"/>
  <c r="D75" i="15"/>
  <c r="T71" i="15"/>
  <c r="P71" i="15"/>
  <c r="L71" i="15"/>
  <c r="H71" i="15"/>
  <c r="T70" i="15"/>
  <c r="P70" i="15"/>
  <c r="L70" i="15"/>
  <c r="H70" i="15"/>
  <c r="T69" i="15"/>
  <c r="P69" i="15"/>
  <c r="L69" i="15"/>
  <c r="H69" i="15"/>
  <c r="T68" i="15"/>
  <c r="P68" i="15"/>
  <c r="L68" i="15"/>
  <c r="H68" i="15"/>
  <c r="F71" i="15"/>
  <c r="D71" i="15"/>
  <c r="D70" i="15"/>
  <c r="D69" i="15"/>
  <c r="F68" i="15"/>
  <c r="D68" i="15"/>
  <c r="T67" i="15"/>
  <c r="P67" i="15"/>
  <c r="L67" i="15"/>
  <c r="H67" i="15"/>
  <c r="T66" i="15"/>
  <c r="P66" i="15"/>
  <c r="L66" i="15"/>
  <c r="H66" i="15"/>
  <c r="F67" i="15"/>
  <c r="D67" i="15"/>
  <c r="T65" i="15"/>
  <c r="P65" i="15"/>
  <c r="L65" i="15"/>
  <c r="F66" i="15"/>
  <c r="D66" i="15"/>
  <c r="H65" i="15"/>
  <c r="F65" i="15"/>
  <c r="E65" i="15"/>
  <c r="D65" i="15"/>
  <c r="T57" i="15"/>
  <c r="T56" i="15"/>
  <c r="T55" i="15"/>
  <c r="T54" i="15"/>
  <c r="T53" i="15"/>
  <c r="T52" i="15"/>
  <c r="T51" i="15"/>
  <c r="T50" i="15"/>
  <c r="T49" i="15"/>
  <c r="T48" i="15"/>
  <c r="T47" i="15"/>
  <c r="T46" i="15"/>
  <c r="T45" i="15"/>
  <c r="T44" i="15"/>
  <c r="T43" i="15"/>
  <c r="T42" i="15"/>
  <c r="T41" i="15"/>
  <c r="T40" i="15"/>
  <c r="T39" i="15"/>
  <c r="T38" i="15"/>
  <c r="T37" i="15"/>
  <c r="T17" i="15"/>
  <c r="T16" i="15"/>
  <c r="T15" i="15"/>
  <c r="P57" i="15"/>
  <c r="P56" i="15"/>
  <c r="P55" i="15"/>
  <c r="P54" i="15"/>
  <c r="P53" i="15"/>
  <c r="P52" i="15"/>
  <c r="P51" i="15"/>
  <c r="P50" i="15"/>
  <c r="P49" i="15"/>
  <c r="P48" i="15"/>
  <c r="P47" i="15"/>
  <c r="P46" i="15"/>
  <c r="P45" i="15"/>
  <c r="P44" i="15"/>
  <c r="P43" i="15"/>
  <c r="P42" i="15"/>
  <c r="P41" i="15"/>
  <c r="P40" i="15"/>
  <c r="P39" i="15"/>
  <c r="P38" i="15"/>
  <c r="P37" i="15"/>
  <c r="P17" i="15"/>
  <c r="P16" i="15"/>
  <c r="P15" i="15"/>
  <c r="L57" i="15"/>
  <c r="L56" i="15"/>
  <c r="L55" i="15"/>
  <c r="L54" i="15"/>
  <c r="L53" i="15"/>
  <c r="L52" i="15"/>
  <c r="L51" i="15"/>
  <c r="L50" i="15"/>
  <c r="L49" i="15"/>
  <c r="L48" i="15"/>
  <c r="L47" i="15"/>
  <c r="L46" i="15"/>
  <c r="L45" i="15"/>
  <c r="L44" i="15"/>
  <c r="L43" i="15"/>
  <c r="L42" i="15"/>
  <c r="L41" i="15"/>
  <c r="L40" i="15"/>
  <c r="L39" i="15"/>
  <c r="L38" i="15"/>
  <c r="L37" i="15"/>
  <c r="L17" i="15"/>
  <c r="L16" i="15"/>
  <c r="L15" i="15"/>
  <c r="H57" i="15"/>
  <c r="H56" i="15"/>
  <c r="H55" i="15"/>
  <c r="H54" i="15"/>
  <c r="H53" i="15"/>
  <c r="H52" i="15"/>
  <c r="H51" i="15"/>
  <c r="H50" i="15"/>
  <c r="H49" i="15"/>
  <c r="H48" i="15"/>
  <c r="H47" i="15"/>
  <c r="H46" i="15"/>
  <c r="H45" i="15"/>
  <c r="H44" i="15"/>
  <c r="H43" i="15"/>
  <c r="H42" i="15"/>
  <c r="H41" i="15"/>
  <c r="AW9" i="3" l="1"/>
  <c r="BG8" i="3"/>
  <c r="BL8" i="3"/>
  <c r="I162" i="15" s="1"/>
  <c r="BI33" i="3"/>
  <c r="BR33" i="3"/>
  <c r="BS33" i="3"/>
  <c r="U55" i="15" s="1"/>
  <c r="AO33" i="3"/>
  <c r="AN33" i="3"/>
  <c r="AM33" i="3"/>
  <c r="BO33" i="3"/>
  <c r="M55" i="15" s="1"/>
  <c r="BM33" i="3"/>
  <c r="I55" i="15" s="1"/>
  <c r="BP33" i="3"/>
  <c r="BN33" i="3"/>
  <c r="BL33" i="3"/>
  <c r="F37" i="15" l="1"/>
  <c r="E37" i="15"/>
  <c r="D37" i="15"/>
  <c r="F16" i="15"/>
  <c r="F15" i="15"/>
  <c r="E15" i="15"/>
  <c r="D15" i="15"/>
  <c r="BY212" i="15" l="1"/>
  <c r="BY216" i="15" s="1"/>
  <c r="BK173" i="15"/>
  <c r="BK211" i="15" s="1"/>
  <c r="BX108" i="15"/>
  <c r="BU108" i="15"/>
  <c r="BR108" i="15"/>
  <c r="BO108" i="15"/>
  <c r="BJ108" i="15"/>
  <c r="BG108" i="15"/>
  <c r="BD108" i="15"/>
  <c r="BA108" i="15"/>
  <c r="BB108" i="15" s="1"/>
  <c r="BB172" i="15" s="1"/>
  <c r="AV108" i="15"/>
  <c r="AS108" i="15"/>
  <c r="AP108" i="15"/>
  <c r="AM108" i="15"/>
  <c r="AH108" i="15"/>
  <c r="AE108" i="15"/>
  <c r="AB108" i="15"/>
  <c r="Y108" i="15"/>
  <c r="BX16" i="15"/>
  <c r="BY16" i="15" s="1"/>
  <c r="BU16" i="15"/>
  <c r="BV16" i="15" s="1"/>
  <c r="BR16" i="15"/>
  <c r="BS16" i="15" s="1"/>
  <c r="BO16" i="15"/>
  <c r="BP16" i="15" s="1"/>
  <c r="BJ16" i="15"/>
  <c r="BK16" i="15" s="1"/>
  <c r="BG16" i="15"/>
  <c r="BH16" i="15" s="1"/>
  <c r="BD16" i="15"/>
  <c r="BE16" i="15" s="1"/>
  <c r="BA16" i="15"/>
  <c r="BB16" i="15" s="1"/>
  <c r="AV16" i="15"/>
  <c r="AW16" i="15" s="1"/>
  <c r="AS16" i="15"/>
  <c r="AT16" i="15" s="1"/>
  <c r="AP16" i="15"/>
  <c r="AQ16" i="15" s="1"/>
  <c r="AM16" i="15"/>
  <c r="AN16" i="15" s="1"/>
  <c r="AH16" i="15"/>
  <c r="AI16" i="15" s="1"/>
  <c r="AE16" i="15"/>
  <c r="AF16" i="15" s="1"/>
  <c r="AB16" i="15"/>
  <c r="AC16" i="15" s="1"/>
  <c r="Y16" i="15"/>
  <c r="Z16" i="15" s="1"/>
  <c r="BX15" i="15"/>
  <c r="BU15" i="15"/>
  <c r="BV15" i="15" s="1"/>
  <c r="BR15" i="15"/>
  <c r="BS15" i="15" s="1"/>
  <c r="BO15" i="15"/>
  <c r="BP15" i="15" s="1"/>
  <c r="BJ15" i="15"/>
  <c r="BK15" i="15" s="1"/>
  <c r="BG15" i="15"/>
  <c r="BD15" i="15"/>
  <c r="BE15" i="15" s="1"/>
  <c r="BA15" i="15"/>
  <c r="BB15" i="15" s="1"/>
  <c r="AV15" i="15"/>
  <c r="AW15" i="15" s="1"/>
  <c r="AS15" i="15"/>
  <c r="AT15" i="15" s="1"/>
  <c r="AP15" i="15"/>
  <c r="AQ15" i="15" s="1"/>
  <c r="AM15" i="15"/>
  <c r="AN15" i="15" s="1"/>
  <c r="AH15" i="15"/>
  <c r="AI15" i="15" s="1"/>
  <c r="AE15" i="15"/>
  <c r="AF15" i="15" s="1"/>
  <c r="AB15" i="15"/>
  <c r="AC15" i="15" s="1"/>
  <c r="Y15" i="15"/>
  <c r="Z15" i="15" s="1"/>
  <c r="AQ108" i="15" l="1"/>
  <c r="AQ172" i="15" s="1"/>
  <c r="BY173" i="15"/>
  <c r="BY211" i="15" s="1"/>
  <c r="AF173" i="15"/>
  <c r="AF211" i="15" s="1"/>
  <c r="AN173" i="15"/>
  <c r="AN211" i="15" s="1"/>
  <c r="AQ173" i="15"/>
  <c r="AQ211" i="15" s="1"/>
  <c r="AC173" i="15"/>
  <c r="AC211" i="15" s="1"/>
  <c r="AT173" i="15"/>
  <c r="AT211" i="15" s="1"/>
  <c r="BS173" i="15"/>
  <c r="BS211" i="15" s="1"/>
  <c r="BV173" i="15"/>
  <c r="BV211" i="15" s="1"/>
  <c r="BY15" i="15"/>
  <c r="BY108" i="15"/>
  <c r="BY172" i="15" s="1"/>
  <c r="BH15" i="15"/>
  <c r="BE108" i="15"/>
  <c r="BE172" i="15" s="1"/>
  <c r="BP173" i="15"/>
  <c r="BP211" i="15" s="1"/>
  <c r="BV108" i="15"/>
  <c r="BV172" i="15" s="1"/>
  <c r="AW173" i="15"/>
  <c r="AW211" i="15" s="1"/>
  <c r="AI108" i="15"/>
  <c r="AI172" i="15" s="1"/>
  <c r="BE173" i="15"/>
  <c r="BE211" i="15" s="1"/>
  <c r="BK108" i="15"/>
  <c r="BK172" i="15" s="1"/>
  <c r="Z173" i="15"/>
  <c r="Z211" i="15" s="1"/>
  <c r="BH173" i="15"/>
  <c r="BH211" i="15" s="1"/>
  <c r="AN108" i="15"/>
  <c r="AN172" i="15" s="1"/>
  <c r="Z212" i="15"/>
  <c r="Z216" i="15" s="1"/>
  <c r="BP108" i="15"/>
  <c r="BP172" i="15" s="1"/>
  <c r="Z108" i="15"/>
  <c r="Z172" i="15" s="1"/>
  <c r="BS108" i="15"/>
  <c r="BS172" i="15" s="1"/>
  <c r="AC108" i="15"/>
  <c r="AC172" i="15" s="1"/>
  <c r="AW108" i="15"/>
  <c r="AW172" i="15" s="1"/>
  <c r="BB173" i="15"/>
  <c r="BB211" i="15" s="1"/>
  <c r="BE212" i="15"/>
  <c r="BE216" i="15" s="1"/>
  <c r="AF212" i="15"/>
  <c r="AF216" i="15" s="1"/>
  <c r="BH212" i="15"/>
  <c r="BH216" i="15" s="1"/>
  <c r="AC212" i="15"/>
  <c r="AC216" i="15" s="1"/>
  <c r="AI212" i="15"/>
  <c r="AI216" i="15" s="1"/>
  <c r="BK212" i="15"/>
  <c r="BK216" i="15" s="1"/>
  <c r="AN212" i="15"/>
  <c r="AN216" i="15" s="1"/>
  <c r="BP212" i="15"/>
  <c r="BP216" i="15" s="1"/>
  <c r="BB212" i="15"/>
  <c r="BB216" i="15" s="1"/>
  <c r="AI173" i="15"/>
  <c r="AI211" i="15" s="1"/>
  <c r="AQ212" i="15"/>
  <c r="AQ216" i="15" s="1"/>
  <c r="BS212" i="15"/>
  <c r="BS216" i="15" s="1"/>
  <c r="AF108" i="15"/>
  <c r="AF172" i="15" s="1"/>
  <c r="AT108" i="15"/>
  <c r="AT172" i="15" s="1"/>
  <c r="BH108" i="15"/>
  <c r="BH172" i="15" s="1"/>
  <c r="AT212" i="15"/>
  <c r="AT216" i="15" s="1"/>
  <c r="BV212" i="15"/>
  <c r="BV216" i="15" s="1"/>
  <c r="AW212" i="15"/>
  <c r="AW216" i="15" s="1"/>
  <c r="BP83" i="3" l="1"/>
  <c r="Q200" i="15" s="1"/>
  <c r="BS154" i="3"/>
  <c r="U93" i="15" s="1"/>
  <c r="BR154" i="3"/>
  <c r="U209" i="15" s="1"/>
  <c r="BQ154" i="3"/>
  <c r="Q93" i="15" s="1"/>
  <c r="BP154" i="3"/>
  <c r="Q209" i="15" s="1"/>
  <c r="BO154" i="3"/>
  <c r="M93" i="15" s="1"/>
  <c r="BN154" i="3"/>
  <c r="M209" i="15" s="1"/>
  <c r="BL154" i="3"/>
  <c r="I209" i="15" s="1"/>
  <c r="BS153" i="3"/>
  <c r="U78" i="15" s="1"/>
  <c r="BR153" i="3"/>
  <c r="BQ153" i="3"/>
  <c r="Q78" i="15" s="1"/>
  <c r="BP153" i="3"/>
  <c r="BO153" i="3"/>
  <c r="BN153" i="3"/>
  <c r="BL153" i="3"/>
  <c r="BS150" i="3"/>
  <c r="U75" i="15" s="1"/>
  <c r="BR150" i="3"/>
  <c r="BQ150" i="3"/>
  <c r="Q75" i="15" s="1"/>
  <c r="BP150" i="3"/>
  <c r="BO150" i="3"/>
  <c r="BN150" i="3"/>
  <c r="BL150" i="3"/>
  <c r="BS148" i="3"/>
  <c r="U81" i="15" s="1"/>
  <c r="BR148" i="3"/>
  <c r="U160" i="15" s="1"/>
  <c r="BQ148" i="3"/>
  <c r="Q81" i="15" s="1"/>
  <c r="BP148" i="3"/>
  <c r="Q160" i="15" s="1"/>
  <c r="BO148" i="3"/>
  <c r="M81" i="15" s="1"/>
  <c r="BN148" i="3"/>
  <c r="M160" i="15" s="1"/>
  <c r="BM148" i="3"/>
  <c r="I81" i="15" s="1"/>
  <c r="BL148" i="3"/>
  <c r="I160" i="15" s="1"/>
  <c r="BS146" i="3"/>
  <c r="U80" i="15" s="1"/>
  <c r="BR146" i="3"/>
  <c r="U159" i="15" s="1"/>
  <c r="BQ146" i="3"/>
  <c r="Q80" i="15" s="1"/>
  <c r="BP146" i="3"/>
  <c r="Q159" i="15" s="1"/>
  <c r="BO146" i="3"/>
  <c r="M80" i="15" s="1"/>
  <c r="BN146" i="3"/>
  <c r="M159" i="15" s="1"/>
  <c r="BM146" i="3"/>
  <c r="I80" i="15" s="1"/>
  <c r="BL146" i="3"/>
  <c r="I159" i="15" s="1"/>
  <c r="BS145" i="3"/>
  <c r="U20" i="15" s="1"/>
  <c r="BR145" i="3"/>
  <c r="BQ145" i="3"/>
  <c r="Q20" i="15" s="1"/>
  <c r="BP145" i="3"/>
  <c r="BO145" i="3"/>
  <c r="M20" i="15" s="1"/>
  <c r="BN145" i="3"/>
  <c r="BM145" i="3"/>
  <c r="I20" i="15" s="1"/>
  <c r="BS144" i="3"/>
  <c r="BR144" i="3"/>
  <c r="BQ144" i="3"/>
  <c r="BP144" i="3"/>
  <c r="BO144" i="3"/>
  <c r="BN144" i="3"/>
  <c r="BM144" i="3"/>
  <c r="BL144" i="3"/>
  <c r="BS143" i="3"/>
  <c r="BR143" i="3"/>
  <c r="U116" i="15" s="1"/>
  <c r="BQ143" i="3"/>
  <c r="BP143" i="3"/>
  <c r="Q116" i="15" s="1"/>
  <c r="BO143" i="3"/>
  <c r="BN143" i="3"/>
  <c r="M116" i="15" s="1"/>
  <c r="BM143" i="3"/>
  <c r="BL143" i="3"/>
  <c r="I116" i="15" s="1"/>
  <c r="BS142" i="3"/>
  <c r="U35" i="15" s="1"/>
  <c r="BR142" i="3"/>
  <c r="BQ142" i="3"/>
  <c r="Q35" i="15" s="1"/>
  <c r="BP142" i="3"/>
  <c r="BO142" i="3"/>
  <c r="M35" i="15" s="1"/>
  <c r="BN142" i="3"/>
  <c r="BM142" i="3"/>
  <c r="I35" i="15" s="1"/>
  <c r="BL142" i="3"/>
  <c r="BS141" i="3"/>
  <c r="BR141" i="3"/>
  <c r="U115" i="15" s="1"/>
  <c r="BQ141" i="3"/>
  <c r="BP141" i="3"/>
  <c r="Q115" i="15" s="1"/>
  <c r="BO141" i="3"/>
  <c r="BN141" i="3"/>
  <c r="M115" i="15" s="1"/>
  <c r="BM141" i="3"/>
  <c r="BL141" i="3"/>
  <c r="I115" i="15" s="1"/>
  <c r="BS140" i="3"/>
  <c r="BR140" i="3"/>
  <c r="U170" i="15" s="1"/>
  <c r="BQ140" i="3"/>
  <c r="BP140" i="3"/>
  <c r="Q170" i="15" s="1"/>
  <c r="BO140" i="3"/>
  <c r="BN140" i="3"/>
  <c r="M170" i="15" s="1"/>
  <c r="BM140" i="3"/>
  <c r="BL140" i="3"/>
  <c r="I170" i="15" s="1"/>
  <c r="BS139" i="3"/>
  <c r="U92" i="15" s="1"/>
  <c r="BR139" i="3"/>
  <c r="U158" i="15" s="1"/>
  <c r="BQ139" i="3"/>
  <c r="Q92" i="15" s="1"/>
  <c r="BP139" i="3"/>
  <c r="Q158" i="15" s="1"/>
  <c r="BO139" i="3"/>
  <c r="M92" i="15" s="1"/>
  <c r="BN139" i="3"/>
  <c r="M158" i="15" s="1"/>
  <c r="BM139" i="3"/>
  <c r="I92" i="15" s="1"/>
  <c r="BL139" i="3"/>
  <c r="I158" i="15" s="1"/>
  <c r="BS137" i="3"/>
  <c r="BR137" i="3"/>
  <c r="U157" i="15" s="1"/>
  <c r="BQ137" i="3"/>
  <c r="BP137" i="3"/>
  <c r="Q157" i="15" s="1"/>
  <c r="BO137" i="3"/>
  <c r="BN137" i="3"/>
  <c r="M157" i="15" s="1"/>
  <c r="BM137" i="3"/>
  <c r="BL137" i="3"/>
  <c r="I157" i="15" s="1"/>
  <c r="BS136" i="3"/>
  <c r="BR136" i="3"/>
  <c r="U208" i="15" s="1"/>
  <c r="BQ136" i="3"/>
  <c r="BP136" i="3"/>
  <c r="Q208" i="15" s="1"/>
  <c r="BO136" i="3"/>
  <c r="BN136" i="3"/>
  <c r="M208" i="15" s="1"/>
  <c r="BM136" i="3"/>
  <c r="BL136" i="3"/>
  <c r="I208" i="15" s="1"/>
  <c r="BS135" i="3"/>
  <c r="U91" i="15" s="1"/>
  <c r="BR135" i="3"/>
  <c r="U207" i="15" s="1"/>
  <c r="BQ135" i="3"/>
  <c r="Q91" i="15" s="1"/>
  <c r="BP135" i="3"/>
  <c r="Q207" i="15" s="1"/>
  <c r="BO135" i="3"/>
  <c r="M91" i="15" s="1"/>
  <c r="BN135" i="3"/>
  <c r="M207" i="15" s="1"/>
  <c r="BL135" i="3"/>
  <c r="I207" i="15" s="1"/>
  <c r="BR134" i="3"/>
  <c r="U156" i="15" s="1"/>
  <c r="BP134" i="3"/>
  <c r="Q156" i="15" s="1"/>
  <c r="BN134" i="3"/>
  <c r="M156" i="15" s="1"/>
  <c r="BL134" i="3"/>
  <c r="I156" i="15" s="1"/>
  <c r="BR133" i="3"/>
  <c r="U155" i="15" s="1"/>
  <c r="BP133" i="3"/>
  <c r="Q155" i="15" s="1"/>
  <c r="BN133" i="3"/>
  <c r="M155" i="15" s="1"/>
  <c r="BL133" i="3"/>
  <c r="I155" i="15" s="1"/>
  <c r="BS132" i="3"/>
  <c r="U88" i="15" s="1"/>
  <c r="BR132" i="3"/>
  <c r="U154" i="15" s="1"/>
  <c r="BQ132" i="3"/>
  <c r="Q88" i="15" s="1"/>
  <c r="BP132" i="3"/>
  <c r="Q154" i="15" s="1"/>
  <c r="BO132" i="3"/>
  <c r="M88" i="15" s="1"/>
  <c r="BN132" i="3"/>
  <c r="M154" i="15" s="1"/>
  <c r="BL132" i="3"/>
  <c r="I154" i="15" s="1"/>
  <c r="BR130" i="3"/>
  <c r="U205" i="15" s="1"/>
  <c r="BP130" i="3"/>
  <c r="Q205" i="15" s="1"/>
  <c r="BN130" i="3"/>
  <c r="M205" i="15" s="1"/>
  <c r="BL130" i="3"/>
  <c r="I205" i="15" s="1"/>
  <c r="BR129" i="3"/>
  <c r="U204" i="15" s="1"/>
  <c r="BP129" i="3"/>
  <c r="Q204" i="15" s="1"/>
  <c r="BN129" i="3"/>
  <c r="M204" i="15" s="1"/>
  <c r="BL129" i="3"/>
  <c r="I204" i="15" s="1"/>
  <c r="BR128" i="3"/>
  <c r="U153" i="15" s="1"/>
  <c r="BP128" i="3"/>
  <c r="Q153" i="15" s="1"/>
  <c r="BN128" i="3"/>
  <c r="M153" i="15" s="1"/>
  <c r="BL128" i="3"/>
  <c r="I153" i="15" s="1"/>
  <c r="BR127" i="3"/>
  <c r="U152" i="15" s="1"/>
  <c r="BP127" i="3"/>
  <c r="Q152" i="15" s="1"/>
  <c r="BN127" i="3"/>
  <c r="M152" i="15" s="1"/>
  <c r="BL127" i="3"/>
  <c r="I152" i="15" s="1"/>
  <c r="BS126" i="3"/>
  <c r="U83" i="15" s="1"/>
  <c r="BR126" i="3"/>
  <c r="U151" i="15" s="1"/>
  <c r="BQ126" i="3"/>
  <c r="Q83" i="15" s="1"/>
  <c r="BP126" i="3"/>
  <c r="Q151" i="15" s="1"/>
  <c r="BO126" i="3"/>
  <c r="M83" i="15" s="1"/>
  <c r="BN126" i="3"/>
  <c r="M151" i="15" s="1"/>
  <c r="BL126" i="3"/>
  <c r="I151" i="15" s="1"/>
  <c r="BS125" i="3"/>
  <c r="U82" i="15" s="1"/>
  <c r="BR125" i="3"/>
  <c r="U150" i="15" s="1"/>
  <c r="BQ125" i="3"/>
  <c r="Q82" i="15" s="1"/>
  <c r="BP125" i="3"/>
  <c r="Q150" i="15" s="1"/>
  <c r="BO125" i="3"/>
  <c r="M82" i="15" s="1"/>
  <c r="BN125" i="3"/>
  <c r="M150" i="15" s="1"/>
  <c r="BL125" i="3"/>
  <c r="I150" i="15" s="1"/>
  <c r="BS124" i="3"/>
  <c r="BR124" i="3"/>
  <c r="U194" i="15" s="1"/>
  <c r="BQ124" i="3"/>
  <c r="BP124" i="3"/>
  <c r="Q194" i="15" s="1"/>
  <c r="BO124" i="3"/>
  <c r="BN124" i="3"/>
  <c r="M194" i="15" s="1"/>
  <c r="BM124" i="3"/>
  <c r="BL124" i="3"/>
  <c r="I194" i="15" s="1"/>
  <c r="BS123" i="3"/>
  <c r="BR123" i="3"/>
  <c r="U193" i="15" s="1"/>
  <c r="BQ123" i="3"/>
  <c r="BP123" i="3"/>
  <c r="Q193" i="15" s="1"/>
  <c r="BO123" i="3"/>
  <c r="BN123" i="3"/>
  <c r="M193" i="15" s="1"/>
  <c r="BM123" i="3"/>
  <c r="BL123" i="3"/>
  <c r="I193" i="15" s="1"/>
  <c r="BS122" i="3"/>
  <c r="BR122" i="3"/>
  <c r="U169" i="15" s="1"/>
  <c r="BQ122" i="3"/>
  <c r="BP122" i="3"/>
  <c r="Q169" i="15" s="1"/>
  <c r="BO122" i="3"/>
  <c r="BN122" i="3"/>
  <c r="M169" i="15" s="1"/>
  <c r="BM122" i="3"/>
  <c r="BL122" i="3"/>
  <c r="I169" i="15" s="1"/>
  <c r="BS121" i="3"/>
  <c r="BR121" i="3"/>
  <c r="U214" i="15" s="1"/>
  <c r="BQ121" i="3"/>
  <c r="BP121" i="3"/>
  <c r="Q214" i="15" s="1"/>
  <c r="BO121" i="3"/>
  <c r="BN121" i="3"/>
  <c r="M214" i="15" s="1"/>
  <c r="BM121" i="3"/>
  <c r="BL121" i="3"/>
  <c r="I214" i="15" s="1"/>
  <c r="BS120" i="3"/>
  <c r="BR120" i="3"/>
  <c r="U192" i="15" s="1"/>
  <c r="BQ120" i="3"/>
  <c r="BP120" i="3"/>
  <c r="Q192" i="15" s="1"/>
  <c r="BO120" i="3"/>
  <c r="BN120" i="3"/>
  <c r="M192" i="15" s="1"/>
  <c r="BM120" i="3"/>
  <c r="BL120" i="3"/>
  <c r="I192" i="15" s="1"/>
  <c r="BS119" i="3"/>
  <c r="BR119" i="3"/>
  <c r="U114" i="15" s="1"/>
  <c r="BQ119" i="3"/>
  <c r="BP119" i="3"/>
  <c r="Q114" i="15" s="1"/>
  <c r="BO119" i="3"/>
  <c r="BN119" i="3"/>
  <c r="M114" i="15" s="1"/>
  <c r="BM119" i="3"/>
  <c r="BL119" i="3"/>
  <c r="I114" i="15" s="1"/>
  <c r="BS118" i="3"/>
  <c r="BR118" i="3"/>
  <c r="U191" i="15" s="1"/>
  <c r="BQ118" i="3"/>
  <c r="BP118" i="3"/>
  <c r="Q191" i="15" s="1"/>
  <c r="BO118" i="3"/>
  <c r="BN118" i="3"/>
  <c r="M191" i="15" s="1"/>
  <c r="BM118" i="3"/>
  <c r="BL118" i="3"/>
  <c r="I191" i="15" s="1"/>
  <c r="BS117" i="3"/>
  <c r="BR117" i="3"/>
  <c r="U190" i="15" s="1"/>
  <c r="BQ117" i="3"/>
  <c r="BP117" i="3"/>
  <c r="Q190" i="15" s="1"/>
  <c r="BO117" i="3"/>
  <c r="BN117" i="3"/>
  <c r="M190" i="15" s="1"/>
  <c r="BM117" i="3"/>
  <c r="BL117" i="3"/>
  <c r="I190" i="15" s="1"/>
  <c r="BS116" i="3"/>
  <c r="BR116" i="3"/>
  <c r="U189" i="15" s="1"/>
  <c r="BQ116" i="3"/>
  <c r="BP116" i="3"/>
  <c r="Q189" i="15" s="1"/>
  <c r="BO116" i="3"/>
  <c r="BN116" i="3"/>
  <c r="M189" i="15" s="1"/>
  <c r="BM116" i="3"/>
  <c r="BL116" i="3"/>
  <c r="I189" i="15" s="1"/>
  <c r="BS115" i="3"/>
  <c r="BR115" i="3"/>
  <c r="U188" i="15" s="1"/>
  <c r="BQ115" i="3"/>
  <c r="BP115" i="3"/>
  <c r="Q188" i="15" s="1"/>
  <c r="BO115" i="3"/>
  <c r="BN115" i="3"/>
  <c r="M188" i="15" s="1"/>
  <c r="BM115" i="3"/>
  <c r="BL115" i="3"/>
  <c r="I188" i="15" s="1"/>
  <c r="BS114" i="3"/>
  <c r="BR114" i="3"/>
  <c r="U168" i="15" s="1"/>
  <c r="BQ114" i="3"/>
  <c r="BP114" i="3"/>
  <c r="Q168" i="15" s="1"/>
  <c r="BO114" i="3"/>
  <c r="BN114" i="3"/>
  <c r="M168" i="15" s="1"/>
  <c r="BM114" i="3"/>
  <c r="BL114" i="3"/>
  <c r="I168" i="15" s="1"/>
  <c r="BS113" i="3"/>
  <c r="U33" i="15" s="1"/>
  <c r="BR113" i="3"/>
  <c r="U187" i="15" s="1"/>
  <c r="BQ113" i="3"/>
  <c r="Q33" i="15" s="1"/>
  <c r="BP113" i="3"/>
  <c r="Q187" i="15" s="1"/>
  <c r="BO113" i="3"/>
  <c r="M33" i="15" s="1"/>
  <c r="BN113" i="3"/>
  <c r="M187" i="15" s="1"/>
  <c r="BM113" i="3"/>
  <c r="I33" i="15" s="1"/>
  <c r="BL113" i="3"/>
  <c r="I187" i="15" s="1"/>
  <c r="BS112" i="3"/>
  <c r="BR112" i="3"/>
  <c r="BQ112" i="3"/>
  <c r="BP112" i="3"/>
  <c r="BO112" i="3"/>
  <c r="BN112" i="3"/>
  <c r="BM112" i="3"/>
  <c r="I24" i="15" s="1"/>
  <c r="BL112" i="3"/>
  <c r="BS111" i="3"/>
  <c r="U31" i="15" s="1"/>
  <c r="BR111" i="3"/>
  <c r="U111" i="15" s="1"/>
  <c r="BQ111" i="3"/>
  <c r="Q31" i="15" s="1"/>
  <c r="BP111" i="3"/>
  <c r="Q111" i="15" s="1"/>
  <c r="BO111" i="3"/>
  <c r="M31" i="15" s="1"/>
  <c r="BN111" i="3"/>
  <c r="M111" i="15" s="1"/>
  <c r="BL111" i="3"/>
  <c r="I111" i="15" s="1"/>
  <c r="BS110" i="3"/>
  <c r="U30" i="15" s="1"/>
  <c r="BR110" i="3"/>
  <c r="U186" i="15" s="1"/>
  <c r="BQ110" i="3"/>
  <c r="Q30" i="15" s="1"/>
  <c r="BP110" i="3"/>
  <c r="Q186" i="15" s="1"/>
  <c r="BO110" i="3"/>
  <c r="M30" i="15" s="1"/>
  <c r="BN110" i="3"/>
  <c r="M186" i="15" s="1"/>
  <c r="BM110" i="3"/>
  <c r="I30" i="15" s="1"/>
  <c r="BL110" i="3"/>
  <c r="I186" i="15" s="1"/>
  <c r="BR109" i="3"/>
  <c r="BP109" i="3"/>
  <c r="BN109" i="3"/>
  <c r="BS108" i="3"/>
  <c r="U22" i="15" s="1"/>
  <c r="BR108" i="3"/>
  <c r="BP108" i="3"/>
  <c r="BO108" i="3"/>
  <c r="M22" i="15" s="1"/>
  <c r="BN108" i="3"/>
  <c r="BS107" i="3"/>
  <c r="U32" i="15" s="1"/>
  <c r="BR107" i="3"/>
  <c r="U110" i="15" s="1"/>
  <c r="BQ107" i="3"/>
  <c r="Q32" i="15" s="1"/>
  <c r="BP107" i="3"/>
  <c r="Q110" i="15" s="1"/>
  <c r="BO107" i="3"/>
  <c r="M32" i="15" s="1"/>
  <c r="BN107" i="3"/>
  <c r="M110" i="15" s="1"/>
  <c r="I32" i="15"/>
  <c r="BL107" i="3"/>
  <c r="I110" i="15" s="1"/>
  <c r="BS106" i="3"/>
  <c r="U19" i="15" s="1"/>
  <c r="BR106" i="3"/>
  <c r="U109" i="15" s="1"/>
  <c r="BQ106" i="3"/>
  <c r="Q19" i="15" s="1"/>
  <c r="BP106" i="3"/>
  <c r="Q109" i="15" s="1"/>
  <c r="BO106" i="3"/>
  <c r="M19" i="15" s="1"/>
  <c r="BN106" i="3"/>
  <c r="M109" i="15" s="1"/>
  <c r="BM106" i="3"/>
  <c r="I19" i="15" s="1"/>
  <c r="BL106" i="3"/>
  <c r="I109" i="15" s="1"/>
  <c r="BS105" i="3"/>
  <c r="U18" i="15" s="1"/>
  <c r="BR105" i="3"/>
  <c r="BQ105" i="3"/>
  <c r="Q18" i="15" s="1"/>
  <c r="BP105" i="3"/>
  <c r="BO105" i="3"/>
  <c r="M18" i="15" s="1"/>
  <c r="BN105" i="3"/>
  <c r="BM105" i="3"/>
  <c r="I18" i="15" s="1"/>
  <c r="BL105" i="3"/>
  <c r="BS104" i="3"/>
  <c r="U29" i="15" s="1"/>
  <c r="BR104" i="3"/>
  <c r="U185" i="15" s="1"/>
  <c r="BQ104" i="3"/>
  <c r="Q29" i="15" s="1"/>
  <c r="BP104" i="3"/>
  <c r="Q185" i="15" s="1"/>
  <c r="BO104" i="3"/>
  <c r="M29" i="15" s="1"/>
  <c r="BN104" i="3"/>
  <c r="M185" i="15" s="1"/>
  <c r="BM104" i="3"/>
  <c r="I29" i="15" s="1"/>
  <c r="BL104" i="3"/>
  <c r="I185" i="15" s="1"/>
  <c r="BS103" i="3"/>
  <c r="U21" i="15" s="1"/>
  <c r="BR103" i="3"/>
  <c r="BQ103" i="3"/>
  <c r="Q21" i="15" s="1"/>
  <c r="BP103" i="3"/>
  <c r="BO103" i="3"/>
  <c r="M21" i="15" s="1"/>
  <c r="BN103" i="3"/>
  <c r="BM103" i="3"/>
  <c r="I21" i="15" s="1"/>
  <c r="BL103" i="3"/>
  <c r="BS102" i="3"/>
  <c r="U28" i="15" s="1"/>
  <c r="BR102" i="3"/>
  <c r="U213" i="15" s="1"/>
  <c r="BQ102" i="3"/>
  <c r="Q28" i="15" s="1"/>
  <c r="BP102" i="3"/>
  <c r="Q213" i="15" s="1"/>
  <c r="BO102" i="3"/>
  <c r="M28" i="15" s="1"/>
  <c r="BN102" i="3"/>
  <c r="M213" i="15" s="1"/>
  <c r="BM102" i="3"/>
  <c r="I28" i="15" s="1"/>
  <c r="BL102" i="3"/>
  <c r="I213" i="15" s="1"/>
  <c r="BS101" i="3"/>
  <c r="U27" i="15" s="1"/>
  <c r="BR101" i="3"/>
  <c r="U212" i="15" s="1"/>
  <c r="BQ101" i="3"/>
  <c r="Q27" i="15" s="1"/>
  <c r="BP101" i="3"/>
  <c r="Q212" i="15" s="1"/>
  <c r="BO101" i="3"/>
  <c r="M27" i="15" s="1"/>
  <c r="BN101" i="3"/>
  <c r="M212" i="15" s="1"/>
  <c r="BM101" i="3"/>
  <c r="I27" i="15" s="1"/>
  <c r="BL101" i="3"/>
  <c r="I212" i="15" s="1"/>
  <c r="BS100" i="3"/>
  <c r="BR100" i="3"/>
  <c r="U184" i="15" s="1"/>
  <c r="BQ100" i="3"/>
  <c r="BP100" i="3"/>
  <c r="Q184" i="15" s="1"/>
  <c r="BO100" i="3"/>
  <c r="BN100" i="3"/>
  <c r="M184" i="15" s="1"/>
  <c r="BM100" i="3"/>
  <c r="BL100" i="3"/>
  <c r="I184" i="15" s="1"/>
  <c r="BS99" i="3"/>
  <c r="U25" i="15" s="1"/>
  <c r="BR99" i="3"/>
  <c r="U183" i="15" s="1"/>
  <c r="BQ99" i="3"/>
  <c r="Q25" i="15" s="1"/>
  <c r="BP99" i="3"/>
  <c r="Q183" i="15" s="1"/>
  <c r="BO99" i="3"/>
  <c r="M25" i="15" s="1"/>
  <c r="BN99" i="3"/>
  <c r="M183" i="15" s="1"/>
  <c r="BL99" i="3"/>
  <c r="I183" i="15" s="1"/>
  <c r="BS98" i="3"/>
  <c r="BR98" i="3"/>
  <c r="U108" i="15" s="1"/>
  <c r="BQ98" i="3"/>
  <c r="BP98" i="3"/>
  <c r="Q108" i="15" s="1"/>
  <c r="BO98" i="3"/>
  <c r="BN98" i="3"/>
  <c r="M108" i="15" s="1"/>
  <c r="BM98" i="3"/>
  <c r="BL98" i="3"/>
  <c r="I108" i="15" s="1"/>
  <c r="BS97" i="3"/>
  <c r="BR97" i="3"/>
  <c r="U107" i="15" s="1"/>
  <c r="BQ97" i="3"/>
  <c r="BP97" i="3"/>
  <c r="Q107" i="15" s="1"/>
  <c r="BO97" i="3"/>
  <c r="BN97" i="3"/>
  <c r="M107" i="15" s="1"/>
  <c r="BM97" i="3"/>
  <c r="BL97" i="3"/>
  <c r="I107" i="15" s="1"/>
  <c r="BS96" i="3"/>
  <c r="BR96" i="3"/>
  <c r="U106" i="15" s="1"/>
  <c r="BQ96" i="3"/>
  <c r="BP96" i="3"/>
  <c r="Q106" i="15" s="1"/>
  <c r="BO96" i="3"/>
  <c r="BN96" i="3"/>
  <c r="M106" i="15" s="1"/>
  <c r="BM96" i="3"/>
  <c r="BL96" i="3"/>
  <c r="I106" i="15" s="1"/>
  <c r="BS95" i="3"/>
  <c r="BR95" i="3"/>
  <c r="U105" i="15" s="1"/>
  <c r="BQ95" i="3"/>
  <c r="BP95" i="3"/>
  <c r="Q105" i="15" s="1"/>
  <c r="BO95" i="3"/>
  <c r="BN95" i="3"/>
  <c r="M105" i="15" s="1"/>
  <c r="BM95" i="3"/>
  <c r="BL95" i="3"/>
  <c r="I105" i="15" s="1"/>
  <c r="BS94" i="3"/>
  <c r="U17" i="15" s="1"/>
  <c r="BR94" i="3"/>
  <c r="BQ94" i="3"/>
  <c r="Q17" i="15" s="1"/>
  <c r="BP94" i="3"/>
  <c r="BO94" i="3"/>
  <c r="M17" i="15" s="1"/>
  <c r="BN94" i="3"/>
  <c r="BL94" i="3"/>
  <c r="BS93" i="3"/>
  <c r="U16" i="15" s="1"/>
  <c r="BR93" i="3"/>
  <c r="BQ93" i="3"/>
  <c r="Q16" i="15" s="1"/>
  <c r="BP93" i="3"/>
  <c r="BO93" i="3"/>
  <c r="M16" i="15" s="1"/>
  <c r="BN93" i="3"/>
  <c r="BS92" i="3"/>
  <c r="U15" i="15" s="1"/>
  <c r="BR92" i="3"/>
  <c r="BQ92" i="3"/>
  <c r="Q15" i="15" s="1"/>
  <c r="BP92" i="3"/>
  <c r="BO92" i="3"/>
  <c r="M15" i="15" s="1"/>
  <c r="BN92" i="3"/>
  <c r="BM92" i="3"/>
  <c r="I15" i="15" s="1"/>
  <c r="BS91" i="3"/>
  <c r="BR91" i="3"/>
  <c r="U182" i="15" s="1"/>
  <c r="BQ91" i="3"/>
  <c r="BP91" i="3"/>
  <c r="Q182" i="15" s="1"/>
  <c r="BO91" i="3"/>
  <c r="BN91" i="3"/>
  <c r="M182" i="15" s="1"/>
  <c r="BM91" i="3"/>
  <c r="BL91" i="3"/>
  <c r="I182" i="15" s="1"/>
  <c r="BS90" i="3"/>
  <c r="BR90" i="3"/>
  <c r="U181" i="15" s="1"/>
  <c r="BQ90" i="3"/>
  <c r="BP90" i="3"/>
  <c r="Q181" i="15" s="1"/>
  <c r="BO90" i="3"/>
  <c r="BN90" i="3"/>
  <c r="M181" i="15" s="1"/>
  <c r="BM90" i="3"/>
  <c r="BL90" i="3"/>
  <c r="I181" i="15" s="1"/>
  <c r="BS88" i="3"/>
  <c r="U71" i="15" s="1"/>
  <c r="BR88" i="3"/>
  <c r="BQ88" i="3"/>
  <c r="Q71" i="15" s="1"/>
  <c r="BP88" i="3"/>
  <c r="BO88" i="3"/>
  <c r="BN88" i="3"/>
  <c r="BM88" i="3"/>
  <c r="I71" i="15" s="1"/>
  <c r="BL88" i="3"/>
  <c r="BS87" i="3"/>
  <c r="U70" i="15" s="1"/>
  <c r="BR87" i="3"/>
  <c r="BQ87" i="3"/>
  <c r="Q70" i="15" s="1"/>
  <c r="BP87" i="3"/>
  <c r="BO87" i="3"/>
  <c r="BN87" i="3"/>
  <c r="BM87" i="3"/>
  <c r="I70" i="15" s="1"/>
  <c r="BL87" i="3"/>
  <c r="BS86" i="3"/>
  <c r="U69" i="15" s="1"/>
  <c r="BR86" i="3"/>
  <c r="BQ86" i="3"/>
  <c r="Q69" i="15" s="1"/>
  <c r="BP86" i="3"/>
  <c r="BO86" i="3"/>
  <c r="BN86" i="3"/>
  <c r="BM86" i="3"/>
  <c r="I69" i="15" s="1"/>
  <c r="BL86" i="3"/>
  <c r="BS85" i="3"/>
  <c r="U68" i="15" s="1"/>
  <c r="BR85" i="3"/>
  <c r="BQ85" i="3"/>
  <c r="Q68" i="15" s="1"/>
  <c r="BP85" i="3"/>
  <c r="BO85" i="3"/>
  <c r="BN85" i="3"/>
  <c r="BM85" i="3"/>
  <c r="I68" i="15" s="1"/>
  <c r="BL85" i="3"/>
  <c r="BS84" i="3"/>
  <c r="U73" i="15" s="1"/>
  <c r="BR84" i="3"/>
  <c r="U201" i="15" s="1"/>
  <c r="BQ84" i="3"/>
  <c r="Q73" i="15" s="1"/>
  <c r="BP84" i="3"/>
  <c r="Q201" i="15" s="1"/>
  <c r="BO84" i="3"/>
  <c r="M73" i="15" s="1"/>
  <c r="BN84" i="3"/>
  <c r="M201" i="15" s="1"/>
  <c r="BM84" i="3"/>
  <c r="I73" i="15" s="1"/>
  <c r="BL84" i="3"/>
  <c r="I201" i="15" s="1"/>
  <c r="BR83" i="3"/>
  <c r="U200" i="15" s="1"/>
  <c r="BN83" i="3"/>
  <c r="M200" i="15" s="1"/>
  <c r="BS82" i="3"/>
  <c r="U67" i="15" s="1"/>
  <c r="BR82" i="3"/>
  <c r="BQ82" i="3"/>
  <c r="Q67" i="15" s="1"/>
  <c r="BP82" i="3"/>
  <c r="BO82" i="3"/>
  <c r="BN82" i="3"/>
  <c r="BM82" i="3"/>
  <c r="I67" i="15" s="1"/>
  <c r="BL82" i="3"/>
  <c r="BS81" i="3"/>
  <c r="U66" i="15" s="1"/>
  <c r="BR81" i="3"/>
  <c r="BQ81" i="3"/>
  <c r="Q66" i="15" s="1"/>
  <c r="BP81" i="3"/>
  <c r="BO81" i="3"/>
  <c r="BN81" i="3"/>
  <c r="BM81" i="3"/>
  <c r="I66" i="15" s="1"/>
  <c r="BL81" i="3"/>
  <c r="BS80" i="3"/>
  <c r="U65" i="15" s="1"/>
  <c r="BR80" i="3"/>
  <c r="BP80" i="3"/>
  <c r="BN80" i="3"/>
  <c r="BM80" i="3"/>
  <c r="I65" i="15" s="1"/>
  <c r="BL80" i="3"/>
  <c r="BS79" i="3"/>
  <c r="BR79" i="3"/>
  <c r="U199" i="15" s="1"/>
  <c r="BQ79" i="3"/>
  <c r="BP79" i="3"/>
  <c r="Q199" i="15" s="1"/>
  <c r="BO79" i="3"/>
  <c r="BN79" i="3"/>
  <c r="M199" i="15" s="1"/>
  <c r="BM79" i="3"/>
  <c r="BL79" i="3"/>
  <c r="I199" i="15" s="1"/>
  <c r="BS78" i="3"/>
  <c r="BR78" i="3"/>
  <c r="U180" i="15" s="1"/>
  <c r="BQ78" i="3"/>
  <c r="BP78" i="3"/>
  <c r="Q180" i="15" s="1"/>
  <c r="BO78" i="3"/>
  <c r="BN78" i="3"/>
  <c r="M180" i="15" s="1"/>
  <c r="BM78" i="3"/>
  <c r="BL78" i="3"/>
  <c r="I180" i="15" s="1"/>
  <c r="BS77" i="3"/>
  <c r="BR77" i="3"/>
  <c r="U179" i="15" s="1"/>
  <c r="BQ77" i="3"/>
  <c r="BP77" i="3"/>
  <c r="Q179" i="15" s="1"/>
  <c r="BO77" i="3"/>
  <c r="BN77" i="3"/>
  <c r="M179" i="15" s="1"/>
  <c r="BM77" i="3"/>
  <c r="BL77" i="3"/>
  <c r="I179" i="15" s="1"/>
  <c r="BS76" i="3"/>
  <c r="BR76" i="3"/>
  <c r="U166" i="15" s="1"/>
  <c r="BQ76" i="3"/>
  <c r="BP76" i="3"/>
  <c r="Q166" i="15" s="1"/>
  <c r="BO76" i="3"/>
  <c r="BN76" i="3"/>
  <c r="M166" i="15" s="1"/>
  <c r="BM76" i="3"/>
  <c r="BL76" i="3"/>
  <c r="I166" i="15" s="1"/>
  <c r="BS75" i="3"/>
  <c r="BR75" i="3"/>
  <c r="U139" i="15" s="1"/>
  <c r="BQ75" i="3"/>
  <c r="BP75" i="3"/>
  <c r="Q139" i="15" s="1"/>
  <c r="BO75" i="3"/>
  <c r="BN75" i="3"/>
  <c r="M139" i="15" s="1"/>
  <c r="BM75" i="3"/>
  <c r="BL75" i="3"/>
  <c r="I139" i="15" s="1"/>
  <c r="BS74" i="3"/>
  <c r="BR74" i="3"/>
  <c r="U138" i="15" s="1"/>
  <c r="BQ74" i="3"/>
  <c r="BP74" i="3"/>
  <c r="Q138" i="15" s="1"/>
  <c r="BO74" i="3"/>
  <c r="BN74" i="3"/>
  <c r="M138" i="15" s="1"/>
  <c r="BL74" i="3"/>
  <c r="I138" i="15" s="1"/>
  <c r="BS73" i="3"/>
  <c r="BR73" i="3"/>
  <c r="U203" i="15" s="1"/>
  <c r="BQ73" i="3"/>
  <c r="BP73" i="3"/>
  <c r="Q203" i="15" s="1"/>
  <c r="BO73" i="3"/>
  <c r="BN73" i="3"/>
  <c r="M203" i="15" s="1"/>
  <c r="BL73" i="3"/>
  <c r="I203" i="15" s="1"/>
  <c r="BS72" i="3"/>
  <c r="BR72" i="3"/>
  <c r="U137" i="15" s="1"/>
  <c r="BQ72" i="3"/>
  <c r="BP72" i="3"/>
  <c r="Q137" i="15" s="1"/>
  <c r="BO72" i="3"/>
  <c r="BN72" i="3"/>
  <c r="M137" i="15" s="1"/>
  <c r="BM72" i="3"/>
  <c r="BL72" i="3"/>
  <c r="I137" i="15" s="1"/>
  <c r="BS71" i="3"/>
  <c r="BR71" i="3"/>
  <c r="U197" i="15" s="1"/>
  <c r="BQ71" i="3"/>
  <c r="BP71" i="3"/>
  <c r="Q197" i="15" s="1"/>
  <c r="BO71" i="3"/>
  <c r="BN71" i="3"/>
  <c r="M197" i="15" s="1"/>
  <c r="BM71" i="3"/>
  <c r="BL71" i="3"/>
  <c r="I197" i="15" s="1"/>
  <c r="BS70" i="3"/>
  <c r="BR70" i="3"/>
  <c r="U136" i="15" s="1"/>
  <c r="BQ70" i="3"/>
  <c r="BP70" i="3"/>
  <c r="Q136" i="15" s="1"/>
  <c r="BO70" i="3"/>
  <c r="BN70" i="3"/>
  <c r="M136" i="15" s="1"/>
  <c r="BM70" i="3"/>
  <c r="BL70" i="3"/>
  <c r="I136" i="15" s="1"/>
  <c r="U101" i="15"/>
  <c r="U134" i="15"/>
  <c r="Q101" i="15"/>
  <c r="Q134" i="15"/>
  <c r="M101" i="15"/>
  <c r="M134" i="15"/>
  <c r="I134" i="15"/>
  <c r="BS67" i="3"/>
  <c r="BR67" i="3"/>
  <c r="U133" i="15" s="1"/>
  <c r="BQ67" i="3"/>
  <c r="BP67" i="3"/>
  <c r="Q133" i="15" s="1"/>
  <c r="BO67" i="3"/>
  <c r="BN67" i="3"/>
  <c r="M133" i="15" s="1"/>
  <c r="BL67" i="3"/>
  <c r="I133" i="15" s="1"/>
  <c r="BS66" i="3"/>
  <c r="BR66" i="3"/>
  <c r="U178" i="15" s="1"/>
  <c r="BQ66" i="3"/>
  <c r="BP66" i="3"/>
  <c r="Q178" i="15" s="1"/>
  <c r="BO66" i="3"/>
  <c r="BN66" i="3"/>
  <c r="M178" i="15" s="1"/>
  <c r="BM66" i="3"/>
  <c r="BL66" i="3"/>
  <c r="I178" i="15" s="1"/>
  <c r="BS65" i="3"/>
  <c r="BR65" i="3"/>
  <c r="U177" i="15" s="1"/>
  <c r="BQ65" i="3"/>
  <c r="BP65" i="3"/>
  <c r="Q177" i="15" s="1"/>
  <c r="BO65" i="3"/>
  <c r="BN65" i="3"/>
  <c r="M177" i="15" s="1"/>
  <c r="BM65" i="3"/>
  <c r="BL65" i="3"/>
  <c r="I177" i="15" s="1"/>
  <c r="BS64" i="3"/>
  <c r="BR64" i="3"/>
  <c r="U165" i="15" s="1"/>
  <c r="BQ64" i="3"/>
  <c r="BP64" i="3"/>
  <c r="Q165" i="15" s="1"/>
  <c r="BO64" i="3"/>
  <c r="BN64" i="3"/>
  <c r="M165" i="15" s="1"/>
  <c r="BM64" i="3"/>
  <c r="BL64" i="3"/>
  <c r="I165" i="15" s="1"/>
  <c r="BS63" i="3"/>
  <c r="U99" i="15" s="1"/>
  <c r="BR63" i="3"/>
  <c r="U196" i="15" s="1"/>
  <c r="BQ63" i="3"/>
  <c r="Q99" i="15" s="1"/>
  <c r="BP63" i="3"/>
  <c r="Q196" i="15" s="1"/>
  <c r="BO63" i="3"/>
  <c r="M99" i="15" s="1"/>
  <c r="BN63" i="3"/>
  <c r="M196" i="15" s="1"/>
  <c r="BM63" i="3"/>
  <c r="I99" i="15" s="1"/>
  <c r="BL63" i="3"/>
  <c r="I196" i="15" s="1"/>
  <c r="BS62" i="3"/>
  <c r="BR62" i="3"/>
  <c r="U132" i="15" s="1"/>
  <c r="BQ62" i="3"/>
  <c r="BP62" i="3"/>
  <c r="Q132" i="15" s="1"/>
  <c r="BO62" i="3"/>
  <c r="BN62" i="3"/>
  <c r="M132" i="15" s="1"/>
  <c r="BM62" i="3"/>
  <c r="BL62" i="3"/>
  <c r="I132" i="15" s="1"/>
  <c r="BS61" i="3"/>
  <c r="BR61" i="3"/>
  <c r="U131" i="15" s="1"/>
  <c r="BQ61" i="3"/>
  <c r="BP61" i="3"/>
  <c r="Q131" i="15" s="1"/>
  <c r="BO61" i="3"/>
  <c r="BN61" i="3"/>
  <c r="M131" i="15" s="1"/>
  <c r="BM61" i="3"/>
  <c r="BL61" i="3"/>
  <c r="I131" i="15" s="1"/>
  <c r="BS60" i="3"/>
  <c r="BR60" i="3"/>
  <c r="U130" i="15" s="1"/>
  <c r="BQ60" i="3"/>
  <c r="BP60" i="3"/>
  <c r="Q130" i="15" s="1"/>
  <c r="BO60" i="3"/>
  <c r="BN60" i="3"/>
  <c r="M130" i="15" s="1"/>
  <c r="BM60" i="3"/>
  <c r="BL60" i="3"/>
  <c r="I130" i="15" s="1"/>
  <c r="BS59" i="3"/>
  <c r="BR59" i="3"/>
  <c r="U129" i="15" s="1"/>
  <c r="BQ59" i="3"/>
  <c r="BP59" i="3"/>
  <c r="Q129" i="15" s="1"/>
  <c r="BO59" i="3"/>
  <c r="BN59" i="3"/>
  <c r="M129" i="15" s="1"/>
  <c r="BM59" i="3"/>
  <c r="BL59" i="3"/>
  <c r="I129" i="15" s="1"/>
  <c r="BS58" i="3"/>
  <c r="BR58" i="3"/>
  <c r="U128" i="15" s="1"/>
  <c r="BQ58" i="3"/>
  <c r="BP58" i="3"/>
  <c r="Q128" i="15" s="1"/>
  <c r="BO58" i="3"/>
  <c r="BN58" i="3"/>
  <c r="M128" i="15" s="1"/>
  <c r="BM58" i="3"/>
  <c r="BL58" i="3"/>
  <c r="I128" i="15" s="1"/>
  <c r="BS57" i="3"/>
  <c r="BR57" i="3"/>
  <c r="U127" i="15" s="1"/>
  <c r="BQ57" i="3"/>
  <c r="BP57" i="3"/>
  <c r="Q127" i="15" s="1"/>
  <c r="BO57" i="3"/>
  <c r="BN57" i="3"/>
  <c r="M127" i="15" s="1"/>
  <c r="BM57" i="3"/>
  <c r="BL57" i="3"/>
  <c r="I127" i="15" s="1"/>
  <c r="BS56" i="3"/>
  <c r="BR56" i="3"/>
  <c r="U126" i="15" s="1"/>
  <c r="BQ56" i="3"/>
  <c r="BP56" i="3"/>
  <c r="Q126" i="15" s="1"/>
  <c r="BO56" i="3"/>
  <c r="BN56" i="3"/>
  <c r="M126" i="15" s="1"/>
  <c r="BM56" i="3"/>
  <c r="BL56" i="3"/>
  <c r="I126" i="15" s="1"/>
  <c r="BS55" i="3"/>
  <c r="BR55" i="3"/>
  <c r="U125" i="15" s="1"/>
  <c r="BQ55" i="3"/>
  <c r="BP55" i="3"/>
  <c r="Q125" i="15" s="1"/>
  <c r="BO55" i="3"/>
  <c r="BN55" i="3"/>
  <c r="M125" i="15" s="1"/>
  <c r="BM55" i="3"/>
  <c r="BL55" i="3"/>
  <c r="I125" i="15" s="1"/>
  <c r="BR54" i="3"/>
  <c r="U124" i="15" s="1"/>
  <c r="BP54" i="3"/>
  <c r="Q124" i="15" s="1"/>
  <c r="BN54" i="3"/>
  <c r="M124" i="15" s="1"/>
  <c r="BL54" i="3"/>
  <c r="I124" i="15" s="1"/>
  <c r="BS53" i="3"/>
  <c r="U98" i="15" s="1"/>
  <c r="BR53" i="3"/>
  <c r="U123" i="15" s="1"/>
  <c r="BQ53" i="3"/>
  <c r="Q98" i="15" s="1"/>
  <c r="BP53" i="3"/>
  <c r="Q123" i="15" s="1"/>
  <c r="BO53" i="3"/>
  <c r="M98" i="15" s="1"/>
  <c r="BN53" i="3"/>
  <c r="M123" i="15" s="1"/>
  <c r="BM53" i="3"/>
  <c r="I98" i="15" s="1"/>
  <c r="BL53" i="3"/>
  <c r="I123" i="15" s="1"/>
  <c r="BR52" i="3"/>
  <c r="U122" i="15" s="1"/>
  <c r="BP52" i="3"/>
  <c r="Q122" i="15" s="1"/>
  <c r="BN52" i="3"/>
  <c r="M122" i="15" s="1"/>
  <c r="BL52" i="3"/>
  <c r="I122" i="15" s="1"/>
  <c r="BS51" i="3"/>
  <c r="BR51" i="3"/>
  <c r="U121" i="15" s="1"/>
  <c r="BQ51" i="3"/>
  <c r="BP51" i="3"/>
  <c r="Q121" i="15" s="1"/>
  <c r="BO51" i="3"/>
  <c r="BN51" i="3"/>
  <c r="M121" i="15" s="1"/>
  <c r="BM51" i="3"/>
  <c r="BL51" i="3"/>
  <c r="I121" i="15" s="1"/>
  <c r="BS50" i="3"/>
  <c r="BR50" i="3"/>
  <c r="U120" i="15" s="1"/>
  <c r="BQ50" i="3"/>
  <c r="BP50" i="3"/>
  <c r="Q120" i="15" s="1"/>
  <c r="BO50" i="3"/>
  <c r="BN50" i="3"/>
  <c r="M120" i="15" s="1"/>
  <c r="BM50" i="3"/>
  <c r="BL50" i="3"/>
  <c r="I120" i="15" s="1"/>
  <c r="BS49" i="3"/>
  <c r="BR49" i="3"/>
  <c r="U119" i="15" s="1"/>
  <c r="BQ49" i="3"/>
  <c r="BP49" i="3"/>
  <c r="Q119" i="15" s="1"/>
  <c r="BO49" i="3"/>
  <c r="BN49" i="3"/>
  <c r="M119" i="15" s="1"/>
  <c r="BM49" i="3"/>
  <c r="BL49" i="3"/>
  <c r="I119" i="15" s="1"/>
  <c r="BS48" i="3"/>
  <c r="U96" i="15" s="1"/>
  <c r="BR48" i="3"/>
  <c r="U118" i="15" s="1"/>
  <c r="BQ48" i="3"/>
  <c r="Q96" i="15" s="1"/>
  <c r="BP48" i="3"/>
  <c r="Q118" i="15" s="1"/>
  <c r="BO48" i="3"/>
  <c r="M96" i="15" s="1"/>
  <c r="BN48" i="3"/>
  <c r="M118" i="15" s="1"/>
  <c r="BM48" i="3"/>
  <c r="I96" i="15" s="1"/>
  <c r="BL48" i="3"/>
  <c r="I118" i="15" s="1"/>
  <c r="BS47" i="3"/>
  <c r="BR47" i="3"/>
  <c r="U176" i="15" s="1"/>
  <c r="BQ47" i="3"/>
  <c r="BP47" i="3"/>
  <c r="Q176" i="15" s="1"/>
  <c r="BO47" i="3"/>
  <c r="BN47" i="3"/>
  <c r="M176" i="15" s="1"/>
  <c r="BM47" i="3"/>
  <c r="BL47" i="3"/>
  <c r="I176" i="15" s="1"/>
  <c r="BS46" i="3"/>
  <c r="BR46" i="3"/>
  <c r="U175" i="15" s="1"/>
  <c r="BQ46" i="3"/>
  <c r="BP46" i="3"/>
  <c r="Q175" i="15" s="1"/>
  <c r="BO46" i="3"/>
  <c r="BN46" i="3"/>
  <c r="M175" i="15" s="1"/>
  <c r="BM46" i="3"/>
  <c r="BL46" i="3"/>
  <c r="I175" i="15" s="1"/>
  <c r="BS45" i="3"/>
  <c r="BR45" i="3"/>
  <c r="U164" i="15" s="1"/>
  <c r="BQ45" i="3"/>
  <c r="BP45" i="3"/>
  <c r="Q164" i="15" s="1"/>
  <c r="BO45" i="3"/>
  <c r="BN45" i="3"/>
  <c r="M164" i="15" s="1"/>
  <c r="BM45" i="3"/>
  <c r="BL45" i="3"/>
  <c r="I164" i="15" s="1"/>
  <c r="BS44" i="3"/>
  <c r="U62" i="15" s="1"/>
  <c r="BR44" i="3"/>
  <c r="BQ44" i="3"/>
  <c r="Q62" i="15" s="1"/>
  <c r="BP44" i="3"/>
  <c r="BO44" i="3"/>
  <c r="M62" i="15" s="1"/>
  <c r="BN44" i="3"/>
  <c r="BL44" i="3"/>
  <c r="BS43" i="3"/>
  <c r="BR43" i="3"/>
  <c r="U148" i="15" s="1"/>
  <c r="BQ43" i="3"/>
  <c r="BP43" i="3"/>
  <c r="Q148" i="15" s="1"/>
  <c r="BO43" i="3"/>
  <c r="BN43" i="3"/>
  <c r="M148" i="15" s="1"/>
  <c r="BM43" i="3"/>
  <c r="BL43" i="3"/>
  <c r="I148" i="15" s="1"/>
  <c r="BS42" i="3"/>
  <c r="U63" i="15" s="1"/>
  <c r="BR42" i="3"/>
  <c r="U147" i="15" s="1"/>
  <c r="BQ42" i="3"/>
  <c r="Q63" i="15" s="1"/>
  <c r="BP42" i="3"/>
  <c r="Q147" i="15" s="1"/>
  <c r="BO42" i="3"/>
  <c r="M63" i="15" s="1"/>
  <c r="BN42" i="3"/>
  <c r="M147" i="15" s="1"/>
  <c r="BM42" i="3"/>
  <c r="I63" i="15" s="1"/>
  <c r="BL42" i="3"/>
  <c r="I147" i="15" s="1"/>
  <c r="BS41" i="3"/>
  <c r="U61" i="15" s="1"/>
  <c r="BR41" i="3"/>
  <c r="U146" i="15" s="1"/>
  <c r="BQ41" i="3"/>
  <c r="Q61" i="15" s="1"/>
  <c r="BP41" i="3"/>
  <c r="Q146" i="15" s="1"/>
  <c r="BO41" i="3"/>
  <c r="M61" i="15" s="1"/>
  <c r="BN41" i="3"/>
  <c r="M146" i="15" s="1"/>
  <c r="BM41" i="3"/>
  <c r="I61" i="15" s="1"/>
  <c r="BL41" i="3"/>
  <c r="I146" i="15" s="1"/>
  <c r="BS40" i="3"/>
  <c r="U60" i="15" s="1"/>
  <c r="BR40" i="3"/>
  <c r="U145" i="15" s="1"/>
  <c r="BQ40" i="3"/>
  <c r="Q60" i="15" s="1"/>
  <c r="BP40" i="3"/>
  <c r="Q145" i="15" s="1"/>
  <c r="BO40" i="3"/>
  <c r="M60" i="15" s="1"/>
  <c r="BN40" i="3"/>
  <c r="M145" i="15" s="1"/>
  <c r="BM40" i="3"/>
  <c r="I60" i="15" s="1"/>
  <c r="BL40" i="3"/>
  <c r="I145" i="15" s="1"/>
  <c r="BS39" i="3"/>
  <c r="BR39" i="3"/>
  <c r="U144" i="15" s="1"/>
  <c r="BQ39" i="3"/>
  <c r="BP39" i="3"/>
  <c r="Q144" i="15" s="1"/>
  <c r="BO39" i="3"/>
  <c r="BN39" i="3"/>
  <c r="M144" i="15" s="1"/>
  <c r="BM39" i="3"/>
  <c r="BL39" i="3"/>
  <c r="I144" i="15" s="1"/>
  <c r="BS38" i="3"/>
  <c r="BR38" i="3"/>
  <c r="U143" i="15" s="1"/>
  <c r="BQ38" i="3"/>
  <c r="BP38" i="3"/>
  <c r="Q143" i="15" s="1"/>
  <c r="BO38" i="3"/>
  <c r="BN38" i="3"/>
  <c r="M143" i="15" s="1"/>
  <c r="BM38" i="3"/>
  <c r="BL38" i="3"/>
  <c r="I143" i="15" s="1"/>
  <c r="BS37" i="3"/>
  <c r="U59" i="15" s="1"/>
  <c r="BR37" i="3"/>
  <c r="U142" i="15" s="1"/>
  <c r="BQ37" i="3"/>
  <c r="Q59" i="15" s="1"/>
  <c r="BP37" i="3"/>
  <c r="Q142" i="15" s="1"/>
  <c r="BO37" i="3"/>
  <c r="M59" i="15" s="1"/>
  <c r="BN37" i="3"/>
  <c r="M142" i="15" s="1"/>
  <c r="BM37" i="3"/>
  <c r="I59" i="15" s="1"/>
  <c r="BL37" i="3"/>
  <c r="I142" i="15" s="1"/>
  <c r="BS36" i="3"/>
  <c r="U58" i="15" s="1"/>
  <c r="BR36" i="3"/>
  <c r="U141" i="15" s="1"/>
  <c r="BQ36" i="3"/>
  <c r="Q58" i="15" s="1"/>
  <c r="BP36" i="3"/>
  <c r="Q141" i="15" s="1"/>
  <c r="BO36" i="3"/>
  <c r="M58" i="15" s="1"/>
  <c r="BN36" i="3"/>
  <c r="M141" i="15" s="1"/>
  <c r="BM36" i="3"/>
  <c r="I58" i="15" s="1"/>
  <c r="BL36" i="3"/>
  <c r="I141" i="15" s="1"/>
  <c r="I149" i="15" s="1"/>
  <c r="BS35" i="3"/>
  <c r="U57" i="15" s="1"/>
  <c r="BR35" i="3"/>
  <c r="BQ35" i="3"/>
  <c r="Q57" i="15" s="1"/>
  <c r="BP35" i="3"/>
  <c r="BO35" i="3"/>
  <c r="M57" i="15" s="1"/>
  <c r="BN35" i="3"/>
  <c r="BM35" i="3"/>
  <c r="I57" i="15" s="1"/>
  <c r="BL35" i="3"/>
  <c r="BS34" i="3"/>
  <c r="U56" i="15" s="1"/>
  <c r="BR34" i="3"/>
  <c r="BQ34" i="3"/>
  <c r="Q56" i="15" s="1"/>
  <c r="BP34" i="3"/>
  <c r="BO34" i="3"/>
  <c r="M56" i="15" s="1"/>
  <c r="BN34" i="3"/>
  <c r="BM34" i="3"/>
  <c r="I56" i="15" s="1"/>
  <c r="BL34" i="3"/>
  <c r="BQ33" i="3"/>
  <c r="Q55" i="15" s="1"/>
  <c r="BS32" i="3"/>
  <c r="U54" i="15" s="1"/>
  <c r="BR32" i="3"/>
  <c r="BQ32" i="3"/>
  <c r="Q54" i="15" s="1"/>
  <c r="BP32" i="3"/>
  <c r="BO32" i="3"/>
  <c r="M54" i="15" s="1"/>
  <c r="BN32" i="3"/>
  <c r="BM32" i="3"/>
  <c r="I54" i="15" s="1"/>
  <c r="BL32" i="3"/>
  <c r="BS31" i="3"/>
  <c r="U53" i="15" s="1"/>
  <c r="BR31" i="3"/>
  <c r="BQ31" i="3"/>
  <c r="Q53" i="15" s="1"/>
  <c r="BP31" i="3"/>
  <c r="BO31" i="3"/>
  <c r="M53" i="15" s="1"/>
  <c r="BN31" i="3"/>
  <c r="BM31" i="3"/>
  <c r="I53" i="15" s="1"/>
  <c r="BL31" i="3"/>
  <c r="BS30" i="3"/>
  <c r="U52" i="15" s="1"/>
  <c r="BR30" i="3"/>
  <c r="BQ30" i="3"/>
  <c r="Q52" i="15" s="1"/>
  <c r="BP30" i="3"/>
  <c r="BO30" i="3"/>
  <c r="M52" i="15" s="1"/>
  <c r="BN30" i="3"/>
  <c r="BM30" i="3"/>
  <c r="I52" i="15" s="1"/>
  <c r="BL30" i="3"/>
  <c r="BS29" i="3"/>
  <c r="U51" i="15" s="1"/>
  <c r="BR29" i="3"/>
  <c r="BQ29" i="3"/>
  <c r="Q51" i="15" s="1"/>
  <c r="BP29" i="3"/>
  <c r="BO29" i="3"/>
  <c r="M51" i="15" s="1"/>
  <c r="BN29" i="3"/>
  <c r="BM29" i="3"/>
  <c r="I51" i="15" s="1"/>
  <c r="BL29" i="3"/>
  <c r="BS28" i="3"/>
  <c r="U50" i="15" s="1"/>
  <c r="BR28" i="3"/>
  <c r="BQ28" i="3"/>
  <c r="Q50" i="15" s="1"/>
  <c r="BP28" i="3"/>
  <c r="BO28" i="3"/>
  <c r="M50" i="15" s="1"/>
  <c r="BN28" i="3"/>
  <c r="BM28" i="3"/>
  <c r="I50" i="15" s="1"/>
  <c r="BL28" i="3"/>
  <c r="BS27" i="3"/>
  <c r="U49" i="15" s="1"/>
  <c r="BR27" i="3"/>
  <c r="BQ27" i="3"/>
  <c r="Q49" i="15" s="1"/>
  <c r="BP27" i="3"/>
  <c r="BO27" i="3"/>
  <c r="M49" i="15" s="1"/>
  <c r="BN27" i="3"/>
  <c r="BM27" i="3"/>
  <c r="I49" i="15" s="1"/>
  <c r="BL27" i="3"/>
  <c r="BS26" i="3"/>
  <c r="U48" i="15" s="1"/>
  <c r="BR26" i="3"/>
  <c r="BQ26" i="3"/>
  <c r="Q48" i="15" s="1"/>
  <c r="BP26" i="3"/>
  <c r="BO26" i="3"/>
  <c r="M48" i="15" s="1"/>
  <c r="BN26" i="3"/>
  <c r="BM26" i="3"/>
  <c r="I48" i="15" s="1"/>
  <c r="BL26" i="3"/>
  <c r="BS25" i="3"/>
  <c r="U47" i="15" s="1"/>
  <c r="BR25" i="3"/>
  <c r="BQ25" i="3"/>
  <c r="Q47" i="15" s="1"/>
  <c r="BP25" i="3"/>
  <c r="BO25" i="3"/>
  <c r="M47" i="15" s="1"/>
  <c r="BN25" i="3"/>
  <c r="BM25" i="3"/>
  <c r="I47" i="15" s="1"/>
  <c r="BL25" i="3"/>
  <c r="BS24" i="3"/>
  <c r="U46" i="15" s="1"/>
  <c r="BR24" i="3"/>
  <c r="BQ24" i="3"/>
  <c r="Q46" i="15" s="1"/>
  <c r="BP24" i="3"/>
  <c r="BO24" i="3"/>
  <c r="M46" i="15" s="1"/>
  <c r="BN24" i="3"/>
  <c r="BM24" i="3"/>
  <c r="I46" i="15" s="1"/>
  <c r="BL24" i="3"/>
  <c r="BS23" i="3"/>
  <c r="U45" i="15" s="1"/>
  <c r="BR23" i="3"/>
  <c r="BQ23" i="3"/>
  <c r="Q45" i="15" s="1"/>
  <c r="BP23" i="3"/>
  <c r="BO23" i="3"/>
  <c r="M45" i="15" s="1"/>
  <c r="BN23" i="3"/>
  <c r="BM23" i="3"/>
  <c r="I45" i="15" s="1"/>
  <c r="BL23" i="3"/>
  <c r="BS22" i="3"/>
  <c r="U44" i="15" s="1"/>
  <c r="BR22" i="3"/>
  <c r="BQ22" i="3"/>
  <c r="Q44" i="15" s="1"/>
  <c r="BP22" i="3"/>
  <c r="BO22" i="3"/>
  <c r="M44" i="15" s="1"/>
  <c r="BN22" i="3"/>
  <c r="BM22" i="3"/>
  <c r="I44" i="15" s="1"/>
  <c r="BL22" i="3"/>
  <c r="BS21" i="3"/>
  <c r="U43" i="15" s="1"/>
  <c r="BR21" i="3"/>
  <c r="BQ21" i="3"/>
  <c r="Q43" i="15" s="1"/>
  <c r="BP21" i="3"/>
  <c r="BO21" i="3"/>
  <c r="M43" i="15" s="1"/>
  <c r="BN21" i="3"/>
  <c r="BM21" i="3"/>
  <c r="I43" i="15" s="1"/>
  <c r="BL21" i="3"/>
  <c r="BS20" i="3"/>
  <c r="U42" i="15" s="1"/>
  <c r="BR20" i="3"/>
  <c r="BQ20" i="3"/>
  <c r="Q42" i="15" s="1"/>
  <c r="BP20" i="3"/>
  <c r="BO20" i="3"/>
  <c r="M42" i="15" s="1"/>
  <c r="BN20" i="3"/>
  <c r="BM20" i="3"/>
  <c r="I42" i="15" s="1"/>
  <c r="BL20" i="3"/>
  <c r="BS19" i="3"/>
  <c r="U41" i="15" s="1"/>
  <c r="BR19" i="3"/>
  <c r="BQ19" i="3"/>
  <c r="Q41" i="15" s="1"/>
  <c r="BP19" i="3"/>
  <c r="BO19" i="3"/>
  <c r="M41" i="15" s="1"/>
  <c r="BN19" i="3"/>
  <c r="BM19" i="3"/>
  <c r="I41" i="15" s="1"/>
  <c r="BL19" i="3"/>
  <c r="BS18" i="3"/>
  <c r="U40" i="15" s="1"/>
  <c r="BR18" i="3"/>
  <c r="BQ18" i="3"/>
  <c r="Q40" i="15" s="1"/>
  <c r="BP18" i="3"/>
  <c r="BO18" i="3"/>
  <c r="M40" i="15" s="1"/>
  <c r="BN18" i="3"/>
  <c r="BM18" i="3"/>
  <c r="I40" i="15" s="1"/>
  <c r="BL18" i="3"/>
  <c r="BS17" i="3"/>
  <c r="U39" i="15" s="1"/>
  <c r="BR17" i="3"/>
  <c r="BQ17" i="3"/>
  <c r="Q39" i="15" s="1"/>
  <c r="BP17" i="3"/>
  <c r="BO17" i="3"/>
  <c r="M39" i="15" s="1"/>
  <c r="BN17" i="3"/>
  <c r="BM17" i="3"/>
  <c r="I39" i="15" s="1"/>
  <c r="BL17" i="3"/>
  <c r="BS16" i="3"/>
  <c r="U38" i="15" s="1"/>
  <c r="BR16" i="3"/>
  <c r="BQ16" i="3"/>
  <c r="Q38" i="15" s="1"/>
  <c r="BP16" i="3"/>
  <c r="BO16" i="3"/>
  <c r="M38" i="15" s="1"/>
  <c r="BN16" i="3"/>
  <c r="BM16" i="3"/>
  <c r="I38" i="15" s="1"/>
  <c r="BL16" i="3"/>
  <c r="BS15" i="3"/>
  <c r="U37" i="15" s="1"/>
  <c r="BR15" i="3"/>
  <c r="BQ15" i="3"/>
  <c r="Q37" i="15" s="1"/>
  <c r="BP15" i="3"/>
  <c r="BO15" i="3"/>
  <c r="M37" i="15" s="1"/>
  <c r="BN15" i="3"/>
  <c r="BM15" i="3"/>
  <c r="I37" i="15" s="1"/>
  <c r="BL15" i="3"/>
  <c r="BS14" i="3"/>
  <c r="BR14" i="3"/>
  <c r="U174" i="15" s="1"/>
  <c r="BQ14" i="3"/>
  <c r="BP14" i="3"/>
  <c r="Q174" i="15" s="1"/>
  <c r="BO14" i="3"/>
  <c r="BN14" i="3"/>
  <c r="M174" i="15" s="1"/>
  <c r="BM14" i="3"/>
  <c r="BL14" i="3"/>
  <c r="I174" i="15" s="1"/>
  <c r="BS13" i="3"/>
  <c r="BR13" i="3"/>
  <c r="U173" i="15" s="1"/>
  <c r="BQ13" i="3"/>
  <c r="BP13" i="3"/>
  <c r="Q173" i="15" s="1"/>
  <c r="BO13" i="3"/>
  <c r="BN13" i="3"/>
  <c r="M173" i="15" s="1"/>
  <c r="BM13" i="3"/>
  <c r="BL13" i="3"/>
  <c r="I173" i="15" s="1"/>
  <c r="BS12" i="3"/>
  <c r="BR12" i="3"/>
  <c r="U163" i="15" s="1"/>
  <c r="BQ12" i="3"/>
  <c r="BP12" i="3"/>
  <c r="Q163" i="15" s="1"/>
  <c r="BO12" i="3"/>
  <c r="BN12" i="3"/>
  <c r="M163" i="15" s="1"/>
  <c r="BM12" i="3"/>
  <c r="BL12" i="3"/>
  <c r="I163" i="15" s="1"/>
  <c r="BS9" i="3"/>
  <c r="U34" i="15" s="1"/>
  <c r="BR9" i="3"/>
  <c r="U112" i="15" s="1"/>
  <c r="BQ9" i="3"/>
  <c r="Q34" i="15" s="1"/>
  <c r="BP9" i="3"/>
  <c r="Q112" i="15" s="1"/>
  <c r="BO9" i="3"/>
  <c r="M34" i="15" s="1"/>
  <c r="BN9" i="3"/>
  <c r="M112" i="15" s="1"/>
  <c r="BM9" i="3"/>
  <c r="I34" i="15" s="1"/>
  <c r="BL9" i="3"/>
  <c r="I112" i="15" s="1"/>
  <c r="BI154" i="3"/>
  <c r="V209" i="15" s="1"/>
  <c r="BH154" i="3"/>
  <c r="T93" i="15" s="1"/>
  <c r="BG154" i="3"/>
  <c r="BI153" i="3"/>
  <c r="BH153" i="3"/>
  <c r="BG153" i="3"/>
  <c r="BI150" i="3"/>
  <c r="BH150" i="3"/>
  <c r="BG150" i="3"/>
  <c r="BI148" i="3"/>
  <c r="V160" i="15" s="1"/>
  <c r="BH148" i="3"/>
  <c r="BG148" i="3"/>
  <c r="BI146" i="3"/>
  <c r="V159" i="15" s="1"/>
  <c r="BG146" i="3"/>
  <c r="BH145" i="3"/>
  <c r="BG145" i="3"/>
  <c r="BI144" i="3"/>
  <c r="BH144" i="3"/>
  <c r="BG144" i="3"/>
  <c r="BI143" i="3"/>
  <c r="V116" i="15" s="1"/>
  <c r="BH143" i="3"/>
  <c r="BG143" i="3"/>
  <c r="BI142" i="3"/>
  <c r="BH142" i="3"/>
  <c r="BG142" i="3"/>
  <c r="BI141" i="3"/>
  <c r="V115" i="15" s="1"/>
  <c r="BH141" i="3"/>
  <c r="BG141" i="3"/>
  <c r="BI140" i="3"/>
  <c r="V170" i="15" s="1"/>
  <c r="BH140" i="3"/>
  <c r="BG140" i="3"/>
  <c r="BI139" i="3"/>
  <c r="V158" i="15" s="1"/>
  <c r="BH139" i="3"/>
  <c r="T92" i="15" s="1"/>
  <c r="BG139" i="3"/>
  <c r="BI137" i="3"/>
  <c r="V157" i="15" s="1"/>
  <c r="BH137" i="3"/>
  <c r="BG137" i="3"/>
  <c r="BI136" i="3"/>
  <c r="V208" i="15" s="1"/>
  <c r="BH136" i="3"/>
  <c r="BG136" i="3"/>
  <c r="BI135" i="3"/>
  <c r="V207" i="15" s="1"/>
  <c r="BH135" i="3"/>
  <c r="T91" i="15" s="1"/>
  <c r="BG135" i="3"/>
  <c r="BI134" i="3"/>
  <c r="V156" i="15" s="1"/>
  <c r="BG134" i="3"/>
  <c r="BI133" i="3"/>
  <c r="V155" i="15" s="1"/>
  <c r="BG133" i="3"/>
  <c r="BI132" i="3"/>
  <c r="V154" i="15" s="1"/>
  <c r="BH132" i="3"/>
  <c r="T88" i="15" s="1"/>
  <c r="BG132" i="3"/>
  <c r="BI130" i="3"/>
  <c r="V205" i="15" s="1"/>
  <c r="BH130" i="3"/>
  <c r="BG130" i="3"/>
  <c r="BI129" i="3"/>
  <c r="V204" i="15" s="1"/>
  <c r="BH129" i="3"/>
  <c r="BG129" i="3"/>
  <c r="BI128" i="3"/>
  <c r="V153" i="15" s="1"/>
  <c r="BH128" i="3"/>
  <c r="BG128" i="3"/>
  <c r="BI127" i="3"/>
  <c r="V152" i="15" s="1"/>
  <c r="BH127" i="3"/>
  <c r="BG127" i="3"/>
  <c r="BI126" i="3"/>
  <c r="V151" i="15" s="1"/>
  <c r="BH126" i="3"/>
  <c r="T83" i="15" s="1"/>
  <c r="BG126" i="3"/>
  <c r="BI125" i="3"/>
  <c r="V150" i="15" s="1"/>
  <c r="BH125" i="3"/>
  <c r="T82" i="15" s="1"/>
  <c r="BG125" i="3"/>
  <c r="BI124" i="3"/>
  <c r="V194" i="15" s="1"/>
  <c r="BH124" i="3"/>
  <c r="BG124" i="3"/>
  <c r="BI123" i="3"/>
  <c r="V193" i="15" s="1"/>
  <c r="BH123" i="3"/>
  <c r="BG123" i="3"/>
  <c r="BI122" i="3"/>
  <c r="V169" i="15" s="1"/>
  <c r="BH122" i="3"/>
  <c r="BG122" i="3"/>
  <c r="BI121" i="3"/>
  <c r="V214" i="15" s="1"/>
  <c r="BH121" i="3"/>
  <c r="BG121" i="3"/>
  <c r="BI120" i="3"/>
  <c r="V192" i="15" s="1"/>
  <c r="BH120" i="3"/>
  <c r="BG120" i="3"/>
  <c r="BI119" i="3"/>
  <c r="V114" i="15" s="1"/>
  <c r="BH119" i="3"/>
  <c r="BG119" i="3"/>
  <c r="BI118" i="3"/>
  <c r="V191" i="15" s="1"/>
  <c r="BH118" i="3"/>
  <c r="BG118" i="3"/>
  <c r="BI117" i="3"/>
  <c r="V190" i="15" s="1"/>
  <c r="BH117" i="3"/>
  <c r="BG117" i="3"/>
  <c r="BI116" i="3"/>
  <c r="V189" i="15" s="1"/>
  <c r="BH116" i="3"/>
  <c r="BG116" i="3"/>
  <c r="BI115" i="3"/>
  <c r="V188" i="15" s="1"/>
  <c r="BH115" i="3"/>
  <c r="BG115" i="3"/>
  <c r="BI114" i="3"/>
  <c r="V168" i="15" s="1"/>
  <c r="BH114" i="3"/>
  <c r="BG114" i="3"/>
  <c r="BI113" i="3"/>
  <c r="V187" i="15" s="1"/>
  <c r="BH113" i="3"/>
  <c r="T33" i="15" s="1"/>
  <c r="BG113" i="3"/>
  <c r="BI112" i="3"/>
  <c r="BH112" i="3"/>
  <c r="BG112" i="3"/>
  <c r="BI111" i="3"/>
  <c r="V111" i="15" s="1"/>
  <c r="BH111" i="3"/>
  <c r="T31" i="15" s="1"/>
  <c r="BG111" i="3"/>
  <c r="BI110" i="3"/>
  <c r="V186" i="15" s="1"/>
  <c r="BH110" i="3"/>
  <c r="T30" i="15" s="1"/>
  <c r="BG110" i="3"/>
  <c r="BG109" i="3"/>
  <c r="BH108" i="3"/>
  <c r="BG108" i="3"/>
  <c r="BI107" i="3"/>
  <c r="V110" i="15" s="1"/>
  <c r="BH107" i="3"/>
  <c r="T32" i="15" s="1"/>
  <c r="BG107" i="3"/>
  <c r="BI106" i="3"/>
  <c r="V109" i="15" s="1"/>
  <c r="BH106" i="3"/>
  <c r="BG106" i="3"/>
  <c r="BI105" i="3"/>
  <c r="BH105" i="3"/>
  <c r="BG105" i="3"/>
  <c r="BI104" i="3"/>
  <c r="V185" i="15" s="1"/>
  <c r="BH104" i="3"/>
  <c r="T29" i="15" s="1"/>
  <c r="BG104" i="3"/>
  <c r="BI103" i="3"/>
  <c r="BH103" i="3"/>
  <c r="BG103" i="3"/>
  <c r="BI102" i="3"/>
  <c r="V213" i="15" s="1"/>
  <c r="BH102" i="3"/>
  <c r="T28" i="15" s="1"/>
  <c r="BG102" i="3"/>
  <c r="BI101" i="3"/>
  <c r="V212" i="15" s="1"/>
  <c r="BH101" i="3"/>
  <c r="T27" i="15" s="1"/>
  <c r="BG101" i="3"/>
  <c r="BI100" i="3"/>
  <c r="V184" i="15" s="1"/>
  <c r="BH100" i="3"/>
  <c r="BG100" i="3"/>
  <c r="BI99" i="3"/>
  <c r="V183" i="15" s="1"/>
  <c r="BH99" i="3"/>
  <c r="T25" i="15" s="1"/>
  <c r="BG99" i="3"/>
  <c r="BI98" i="3"/>
  <c r="V108" i="15" s="1"/>
  <c r="BH98" i="3"/>
  <c r="BG98" i="3"/>
  <c r="BI97" i="3"/>
  <c r="V107" i="15" s="1"/>
  <c r="BH97" i="3"/>
  <c r="BG97" i="3"/>
  <c r="BI96" i="3"/>
  <c r="V106" i="15" s="1"/>
  <c r="BH96" i="3"/>
  <c r="BG96" i="3"/>
  <c r="BI95" i="3"/>
  <c r="V105" i="15" s="1"/>
  <c r="BH95" i="3"/>
  <c r="BG95" i="3"/>
  <c r="BI94" i="3"/>
  <c r="BH94" i="3"/>
  <c r="BG94" i="3"/>
  <c r="BH93" i="3"/>
  <c r="BG93" i="3"/>
  <c r="BH92" i="3"/>
  <c r="BG92" i="3"/>
  <c r="BI91" i="3"/>
  <c r="V182" i="15" s="1"/>
  <c r="BH91" i="3"/>
  <c r="BG91" i="3"/>
  <c r="BI90" i="3"/>
  <c r="V181" i="15" s="1"/>
  <c r="BH90" i="3"/>
  <c r="BG90" i="3"/>
  <c r="BI88" i="3"/>
  <c r="BH88" i="3"/>
  <c r="BG88" i="3"/>
  <c r="BI87" i="3"/>
  <c r="BH87" i="3"/>
  <c r="BG87" i="3"/>
  <c r="BI86" i="3"/>
  <c r="BH86" i="3"/>
  <c r="BG86" i="3"/>
  <c r="BI85" i="3"/>
  <c r="BH85" i="3"/>
  <c r="BG85" i="3"/>
  <c r="BI84" i="3"/>
  <c r="V201" i="15" s="1"/>
  <c r="BH84" i="3"/>
  <c r="T73" i="15" s="1"/>
  <c r="BG84" i="3"/>
  <c r="BG83" i="3"/>
  <c r="BI82" i="3"/>
  <c r="BH82" i="3"/>
  <c r="BG82" i="3"/>
  <c r="BI81" i="3"/>
  <c r="BH81" i="3"/>
  <c r="BG81" i="3"/>
  <c r="BI80" i="3"/>
  <c r="BH80" i="3"/>
  <c r="BG80" i="3"/>
  <c r="BI79" i="3"/>
  <c r="V199" i="15" s="1"/>
  <c r="BH79" i="3"/>
  <c r="BG79" i="3"/>
  <c r="BI78" i="3"/>
  <c r="V180" i="15" s="1"/>
  <c r="BH78" i="3"/>
  <c r="BG78" i="3"/>
  <c r="BI77" i="3"/>
  <c r="V179" i="15" s="1"/>
  <c r="BH77" i="3"/>
  <c r="BG77" i="3"/>
  <c r="BI76" i="3"/>
  <c r="V166" i="15" s="1"/>
  <c r="BH76" i="3"/>
  <c r="BG76" i="3"/>
  <c r="BI75" i="3"/>
  <c r="V139" i="15" s="1"/>
  <c r="BH75" i="3"/>
  <c r="BG75" i="3"/>
  <c r="BI74" i="3"/>
  <c r="V138" i="15" s="1"/>
  <c r="BH74" i="3"/>
  <c r="BG74" i="3"/>
  <c r="BI73" i="3"/>
  <c r="V203" i="15" s="1"/>
  <c r="BH73" i="3"/>
  <c r="BG73" i="3"/>
  <c r="BI72" i="3"/>
  <c r="V137" i="15" s="1"/>
  <c r="BH72" i="3"/>
  <c r="BG72" i="3"/>
  <c r="BI71" i="3"/>
  <c r="V197" i="15" s="1"/>
  <c r="BH71" i="3"/>
  <c r="BG71" i="3"/>
  <c r="BI70" i="3"/>
  <c r="V136" i="15" s="1"/>
  <c r="BH70" i="3"/>
  <c r="BG70" i="3"/>
  <c r="V134" i="15"/>
  <c r="T101" i="15"/>
  <c r="BI67" i="3"/>
  <c r="V133" i="15" s="1"/>
  <c r="BH67" i="3"/>
  <c r="BG67" i="3"/>
  <c r="BI66" i="3"/>
  <c r="V178" i="15" s="1"/>
  <c r="BH66" i="3"/>
  <c r="BG66" i="3"/>
  <c r="BI65" i="3"/>
  <c r="V177" i="15" s="1"/>
  <c r="BH65" i="3"/>
  <c r="BG65" i="3"/>
  <c r="BI64" i="3"/>
  <c r="V165" i="15" s="1"/>
  <c r="BH64" i="3"/>
  <c r="BG64" i="3"/>
  <c r="BI63" i="3"/>
  <c r="V196" i="15" s="1"/>
  <c r="BH63" i="3"/>
  <c r="T99" i="15" s="1"/>
  <c r="BG63" i="3"/>
  <c r="BI62" i="3"/>
  <c r="V132" i="15" s="1"/>
  <c r="BH62" i="3"/>
  <c r="BG62" i="3"/>
  <c r="BI61" i="3"/>
  <c r="V131" i="15" s="1"/>
  <c r="BH61" i="3"/>
  <c r="BG61" i="3"/>
  <c r="BI60" i="3"/>
  <c r="V130" i="15" s="1"/>
  <c r="BH60" i="3"/>
  <c r="BG60" i="3"/>
  <c r="BI59" i="3"/>
  <c r="V129" i="15" s="1"/>
  <c r="BH59" i="3"/>
  <c r="BG59" i="3"/>
  <c r="BI58" i="3"/>
  <c r="V128" i="15" s="1"/>
  <c r="BH58" i="3"/>
  <c r="BG58" i="3"/>
  <c r="BI57" i="3"/>
  <c r="V127" i="15" s="1"/>
  <c r="BH57" i="3"/>
  <c r="BG57" i="3"/>
  <c r="BI56" i="3"/>
  <c r="V126" i="15" s="1"/>
  <c r="BH56" i="3"/>
  <c r="BG56" i="3"/>
  <c r="BI55" i="3"/>
  <c r="V125" i="15" s="1"/>
  <c r="BH55" i="3"/>
  <c r="BG55" i="3"/>
  <c r="BI54" i="3"/>
  <c r="V124" i="15" s="1"/>
  <c r="BG54" i="3"/>
  <c r="BI53" i="3"/>
  <c r="V123" i="15" s="1"/>
  <c r="BH53" i="3"/>
  <c r="T98" i="15" s="1"/>
  <c r="BG53" i="3"/>
  <c r="BI52" i="3"/>
  <c r="V122" i="15" s="1"/>
  <c r="BG52" i="3"/>
  <c r="BI51" i="3"/>
  <c r="V121" i="15" s="1"/>
  <c r="BH51" i="3"/>
  <c r="BG51" i="3"/>
  <c r="BI50" i="3"/>
  <c r="V120" i="15" s="1"/>
  <c r="BH50" i="3"/>
  <c r="BG50" i="3"/>
  <c r="BI49" i="3"/>
  <c r="V119" i="15" s="1"/>
  <c r="BH49" i="3"/>
  <c r="BG49" i="3"/>
  <c r="BI48" i="3"/>
  <c r="V118" i="15" s="1"/>
  <c r="BH48" i="3"/>
  <c r="T96" i="15" s="1"/>
  <c r="BG48" i="3"/>
  <c r="BI47" i="3"/>
  <c r="V176" i="15" s="1"/>
  <c r="BH47" i="3"/>
  <c r="BG47" i="3"/>
  <c r="BI46" i="3"/>
  <c r="V175" i="15" s="1"/>
  <c r="BH46" i="3"/>
  <c r="BG46" i="3"/>
  <c r="BI45" i="3"/>
  <c r="V164" i="15" s="1"/>
  <c r="BH45" i="3"/>
  <c r="BG45" i="3"/>
  <c r="BI44" i="3"/>
  <c r="BH44" i="3"/>
  <c r="T62" i="15" s="1"/>
  <c r="BG44" i="3"/>
  <c r="BI43" i="3"/>
  <c r="V148" i="15" s="1"/>
  <c r="BH43" i="3"/>
  <c r="BG43" i="3"/>
  <c r="BI42" i="3"/>
  <c r="V147" i="15" s="1"/>
  <c r="BH42" i="3"/>
  <c r="T63" i="15" s="1"/>
  <c r="BG42" i="3"/>
  <c r="BI41" i="3"/>
  <c r="V146" i="15" s="1"/>
  <c r="BH41" i="3"/>
  <c r="T61" i="15" s="1"/>
  <c r="BG41" i="3"/>
  <c r="BI40" i="3"/>
  <c r="V145" i="15" s="1"/>
  <c r="BH40" i="3"/>
  <c r="T60" i="15" s="1"/>
  <c r="BG40" i="3"/>
  <c r="BI39" i="3"/>
  <c r="V144" i="15" s="1"/>
  <c r="BH39" i="3"/>
  <c r="BG39" i="3"/>
  <c r="BI38" i="3"/>
  <c r="V143" i="15" s="1"/>
  <c r="BH38" i="3"/>
  <c r="BG38" i="3"/>
  <c r="BI37" i="3"/>
  <c r="V142" i="15" s="1"/>
  <c r="BH37" i="3"/>
  <c r="T59" i="15" s="1"/>
  <c r="BG37" i="3"/>
  <c r="BI36" i="3"/>
  <c r="V141" i="15" s="1"/>
  <c r="BH36" i="3"/>
  <c r="T58" i="15" s="1"/>
  <c r="BG36" i="3"/>
  <c r="BI35" i="3"/>
  <c r="BH35" i="3"/>
  <c r="BG35" i="3"/>
  <c r="BI34" i="3"/>
  <c r="BH34" i="3"/>
  <c r="BG34" i="3"/>
  <c r="BH33" i="3"/>
  <c r="BG33" i="3"/>
  <c r="BI32" i="3"/>
  <c r="BH32" i="3"/>
  <c r="BG32" i="3"/>
  <c r="BI31" i="3"/>
  <c r="BH31" i="3"/>
  <c r="BG31" i="3"/>
  <c r="BI30" i="3"/>
  <c r="BH30" i="3"/>
  <c r="BG30" i="3"/>
  <c r="BI29" i="3"/>
  <c r="BH29" i="3"/>
  <c r="BG29" i="3"/>
  <c r="BI28" i="3"/>
  <c r="BH28" i="3"/>
  <c r="BG28" i="3"/>
  <c r="BI27" i="3"/>
  <c r="BH27" i="3"/>
  <c r="BG27" i="3"/>
  <c r="BI26" i="3"/>
  <c r="BH26" i="3"/>
  <c r="BG26" i="3"/>
  <c r="BI25" i="3"/>
  <c r="BH25" i="3"/>
  <c r="BG25" i="3"/>
  <c r="BI24" i="3"/>
  <c r="BH24" i="3"/>
  <c r="BG24" i="3"/>
  <c r="BI23" i="3"/>
  <c r="BH23" i="3"/>
  <c r="BG23" i="3"/>
  <c r="BI22" i="3"/>
  <c r="BH22" i="3"/>
  <c r="BG22" i="3"/>
  <c r="BI21" i="3"/>
  <c r="BH21" i="3"/>
  <c r="BG21" i="3"/>
  <c r="BI20" i="3"/>
  <c r="BH20" i="3"/>
  <c r="BG20" i="3"/>
  <c r="BI19" i="3"/>
  <c r="BH19" i="3"/>
  <c r="BG19" i="3"/>
  <c r="BI18" i="3"/>
  <c r="BH18" i="3"/>
  <c r="BG18" i="3"/>
  <c r="BI17" i="3"/>
  <c r="BH17" i="3"/>
  <c r="BG17" i="3"/>
  <c r="BI16" i="3"/>
  <c r="BH16" i="3"/>
  <c r="BG16" i="3"/>
  <c r="BI15" i="3"/>
  <c r="BH15" i="3"/>
  <c r="BG15" i="3"/>
  <c r="BI14" i="3"/>
  <c r="V174" i="15" s="1"/>
  <c r="BH14" i="3"/>
  <c r="BG14" i="3"/>
  <c r="BI13" i="3"/>
  <c r="V173" i="15" s="1"/>
  <c r="BH13" i="3"/>
  <c r="BG13" i="3"/>
  <c r="BI12" i="3"/>
  <c r="V163" i="15" s="1"/>
  <c r="BH12" i="3"/>
  <c r="BG12" i="3"/>
  <c r="AY154" i="3"/>
  <c r="R209" i="15" s="1"/>
  <c r="AX154" i="3"/>
  <c r="P93" i="15" s="1"/>
  <c r="AW154" i="3"/>
  <c r="AY153" i="3"/>
  <c r="AX153" i="3"/>
  <c r="AW153" i="3"/>
  <c r="AY150" i="3"/>
  <c r="AX150" i="3"/>
  <c r="AW150" i="3"/>
  <c r="AY148" i="3"/>
  <c r="R160" i="15" s="1"/>
  <c r="AX148" i="3"/>
  <c r="AW148" i="3"/>
  <c r="AY146" i="3"/>
  <c r="R159" i="15" s="1"/>
  <c r="AX146" i="3"/>
  <c r="AW146" i="3"/>
  <c r="AX145" i="3"/>
  <c r="AW145" i="3"/>
  <c r="AY144" i="3"/>
  <c r="AX144" i="3"/>
  <c r="AW144" i="3"/>
  <c r="AX9" i="3"/>
  <c r="AY9" i="3"/>
  <c r="R112" i="15" s="1"/>
  <c r="AY12" i="3"/>
  <c r="R163" i="15" s="1"/>
  <c r="AY13" i="3"/>
  <c r="R173" i="15" s="1"/>
  <c r="AY14" i="3"/>
  <c r="R174" i="15" s="1"/>
  <c r="AY15" i="3"/>
  <c r="AY16" i="3"/>
  <c r="R38" i="15" s="1"/>
  <c r="AY17" i="3"/>
  <c r="AY18" i="3"/>
  <c r="AY19" i="3"/>
  <c r="AY20" i="3"/>
  <c r="AY21" i="3"/>
  <c r="AY22" i="3"/>
  <c r="AY23" i="3"/>
  <c r="AY24" i="3"/>
  <c r="AY25" i="3"/>
  <c r="AY26" i="3"/>
  <c r="AY27" i="3"/>
  <c r="AY28" i="3"/>
  <c r="AY29" i="3"/>
  <c r="AY30" i="3"/>
  <c r="AY31" i="3"/>
  <c r="AY32" i="3"/>
  <c r="AY33" i="3"/>
  <c r="AY34" i="3"/>
  <c r="AY35" i="3"/>
  <c r="AY36" i="3"/>
  <c r="R141" i="15" s="1"/>
  <c r="AY37" i="3"/>
  <c r="R142" i="15" s="1"/>
  <c r="AY38" i="3"/>
  <c r="R143" i="15" s="1"/>
  <c r="AY39" i="3"/>
  <c r="R144" i="15" s="1"/>
  <c r="AY40" i="3"/>
  <c r="R145" i="15" s="1"/>
  <c r="AY41" i="3"/>
  <c r="R146" i="15" s="1"/>
  <c r="AY42" i="3"/>
  <c r="R147" i="15" s="1"/>
  <c r="AY43" i="3"/>
  <c r="R148" i="15" s="1"/>
  <c r="AY44" i="3"/>
  <c r="AY45" i="3"/>
  <c r="R164" i="15" s="1"/>
  <c r="AY46" i="3"/>
  <c r="R175" i="15" s="1"/>
  <c r="AY47" i="3"/>
  <c r="R176" i="15" s="1"/>
  <c r="AY48" i="3"/>
  <c r="R118" i="15" s="1"/>
  <c r="AY49" i="3"/>
  <c r="R119" i="15" s="1"/>
  <c r="AY50" i="3"/>
  <c r="R120" i="15" s="1"/>
  <c r="AY51" i="3"/>
  <c r="R121" i="15" s="1"/>
  <c r="AY52" i="3"/>
  <c r="R122" i="15" s="1"/>
  <c r="AY53" i="3"/>
  <c r="R123" i="15" s="1"/>
  <c r="AY54" i="3"/>
  <c r="R124" i="15" s="1"/>
  <c r="AY55" i="3"/>
  <c r="R125" i="15" s="1"/>
  <c r="AY56" i="3"/>
  <c r="R126" i="15" s="1"/>
  <c r="AY57" i="3"/>
  <c r="R127" i="15" s="1"/>
  <c r="AY58" i="3"/>
  <c r="R128" i="15" s="1"/>
  <c r="AY59" i="3"/>
  <c r="R129" i="15" s="1"/>
  <c r="AY60" i="3"/>
  <c r="R130" i="15" s="1"/>
  <c r="AY61" i="3"/>
  <c r="R131" i="15" s="1"/>
  <c r="AY62" i="3"/>
  <c r="R132" i="15" s="1"/>
  <c r="AY63" i="3"/>
  <c r="R196" i="15" s="1"/>
  <c r="AY64" i="3"/>
  <c r="R165" i="15" s="1"/>
  <c r="AY65" i="3"/>
  <c r="R177" i="15" s="1"/>
  <c r="AY66" i="3"/>
  <c r="R178" i="15" s="1"/>
  <c r="AY67" i="3"/>
  <c r="R133" i="15" s="1"/>
  <c r="R134" i="15"/>
  <c r="AY70" i="3"/>
  <c r="R136" i="15" s="1"/>
  <c r="AY71" i="3"/>
  <c r="R197" i="15" s="1"/>
  <c r="AY72" i="3"/>
  <c r="R137" i="15" s="1"/>
  <c r="AY73" i="3"/>
  <c r="R203" i="15" s="1"/>
  <c r="AY74" i="3"/>
  <c r="R138" i="15" s="1"/>
  <c r="AY75" i="3"/>
  <c r="R139" i="15" s="1"/>
  <c r="AY76" i="3"/>
  <c r="R166" i="15" s="1"/>
  <c r="AY77" i="3"/>
  <c r="R179" i="15" s="1"/>
  <c r="AY78" i="3"/>
  <c r="R180" i="15" s="1"/>
  <c r="AY79" i="3"/>
  <c r="R199" i="15" s="1"/>
  <c r="AY80" i="3"/>
  <c r="AY81" i="3"/>
  <c r="AY82" i="3"/>
  <c r="AY84" i="3"/>
  <c r="R201" i="15" s="1"/>
  <c r="AY85" i="3"/>
  <c r="AY86" i="3"/>
  <c r="AY87" i="3"/>
  <c r="AY88" i="3"/>
  <c r="AY90" i="3"/>
  <c r="R181" i="15" s="1"/>
  <c r="AY91" i="3"/>
  <c r="R182" i="15" s="1"/>
  <c r="AY94" i="3"/>
  <c r="AY95" i="3"/>
  <c r="R105" i="15" s="1"/>
  <c r="AY96" i="3"/>
  <c r="R106" i="15" s="1"/>
  <c r="AY97" i="3"/>
  <c r="R107" i="15" s="1"/>
  <c r="AY98" i="3"/>
  <c r="R108" i="15" s="1"/>
  <c r="AY99" i="3"/>
  <c r="R183" i="15" s="1"/>
  <c r="AY100" i="3"/>
  <c r="R184" i="15" s="1"/>
  <c r="AY101" i="3"/>
  <c r="R212" i="15" s="1"/>
  <c r="AY102" i="3"/>
  <c r="R213" i="15" s="1"/>
  <c r="AY103" i="3"/>
  <c r="AY104" i="3"/>
  <c r="R185" i="15" s="1"/>
  <c r="AY105" i="3"/>
  <c r="AY106" i="3"/>
  <c r="R109" i="15" s="1"/>
  <c r="AY107" i="3"/>
  <c r="R110" i="15" s="1"/>
  <c r="AY110" i="3"/>
  <c r="R186" i="15" s="1"/>
  <c r="AY111" i="3"/>
  <c r="R111" i="15" s="1"/>
  <c r="AY112" i="3"/>
  <c r="AY113" i="3"/>
  <c r="R187" i="15" s="1"/>
  <c r="AY114" i="3"/>
  <c r="R168" i="15" s="1"/>
  <c r="AY115" i="3"/>
  <c r="R188" i="15" s="1"/>
  <c r="AY116" i="3"/>
  <c r="R189" i="15" s="1"/>
  <c r="AY117" i="3"/>
  <c r="R190" i="15" s="1"/>
  <c r="AY118" i="3"/>
  <c r="R191" i="15" s="1"/>
  <c r="AY119" i="3"/>
  <c r="R114" i="15" s="1"/>
  <c r="AY120" i="3"/>
  <c r="R192" i="15" s="1"/>
  <c r="AY121" i="3"/>
  <c r="R214" i="15" s="1"/>
  <c r="AY122" i="3"/>
  <c r="R169" i="15" s="1"/>
  <c r="AY123" i="3"/>
  <c r="R193" i="15" s="1"/>
  <c r="AY124" i="3"/>
  <c r="R194" i="15" s="1"/>
  <c r="AY125" i="3"/>
  <c r="R150" i="15" s="1"/>
  <c r="AY126" i="3"/>
  <c r="R151" i="15" s="1"/>
  <c r="AY127" i="3"/>
  <c r="R152" i="15" s="1"/>
  <c r="AY128" i="3"/>
  <c r="R153" i="15" s="1"/>
  <c r="AY129" i="3"/>
  <c r="R204" i="15" s="1"/>
  <c r="AY130" i="3"/>
  <c r="R205" i="15" s="1"/>
  <c r="AY132" i="3"/>
  <c r="R154" i="15" s="1"/>
  <c r="AY133" i="3"/>
  <c r="R155" i="15" s="1"/>
  <c r="AY134" i="3"/>
  <c r="R156" i="15" s="1"/>
  <c r="AY135" i="3"/>
  <c r="R207" i="15" s="1"/>
  <c r="AY136" i="3"/>
  <c r="R208" i="15" s="1"/>
  <c r="AY137" i="3"/>
  <c r="R157" i="15" s="1"/>
  <c r="AY139" i="3"/>
  <c r="R158" i="15" s="1"/>
  <c r="AY140" i="3"/>
  <c r="R170" i="15" s="1"/>
  <c r="AY141" i="3"/>
  <c r="R115" i="15" s="1"/>
  <c r="AY142" i="3"/>
  <c r="AY143" i="3"/>
  <c r="R116" i="15" s="1"/>
  <c r="AX12" i="3"/>
  <c r="AX13" i="3"/>
  <c r="AX14" i="3"/>
  <c r="AX15" i="3"/>
  <c r="AX16" i="3"/>
  <c r="AX17" i="3"/>
  <c r="AX18" i="3"/>
  <c r="AX19" i="3"/>
  <c r="AX20" i="3"/>
  <c r="AX21" i="3"/>
  <c r="AX22" i="3"/>
  <c r="AX23" i="3"/>
  <c r="AX24" i="3"/>
  <c r="AX25" i="3"/>
  <c r="AX26" i="3"/>
  <c r="AX27" i="3"/>
  <c r="AX28" i="3"/>
  <c r="AX29" i="3"/>
  <c r="AX30" i="3"/>
  <c r="AX31" i="3"/>
  <c r="AX32" i="3"/>
  <c r="AX33" i="3"/>
  <c r="AX34" i="3"/>
  <c r="AX35" i="3"/>
  <c r="AX36" i="3"/>
  <c r="P58" i="15" s="1"/>
  <c r="AX37" i="3"/>
  <c r="P59" i="15" s="1"/>
  <c r="AX38" i="3"/>
  <c r="AX39" i="3"/>
  <c r="AX40" i="3"/>
  <c r="P60" i="15" s="1"/>
  <c r="AX41" i="3"/>
  <c r="P61" i="15" s="1"/>
  <c r="AX42" i="3"/>
  <c r="P63" i="15" s="1"/>
  <c r="AX43" i="3"/>
  <c r="AX44" i="3"/>
  <c r="P62" i="15" s="1"/>
  <c r="AX45" i="3"/>
  <c r="AX46" i="3"/>
  <c r="AX47" i="3"/>
  <c r="AX48" i="3"/>
  <c r="P96" i="15" s="1"/>
  <c r="AX49" i="3"/>
  <c r="AX50" i="3"/>
  <c r="AX53" i="3"/>
  <c r="P98" i="15" s="1"/>
  <c r="AX55" i="3"/>
  <c r="AX56" i="3"/>
  <c r="AX57" i="3"/>
  <c r="AX58" i="3"/>
  <c r="AX59" i="3"/>
  <c r="AX60" i="3"/>
  <c r="AX61" i="3"/>
  <c r="AX62" i="3"/>
  <c r="AX63" i="3"/>
  <c r="P99" i="15" s="1"/>
  <c r="AX64" i="3"/>
  <c r="AX65" i="3"/>
  <c r="AX66" i="3"/>
  <c r="AX67" i="3"/>
  <c r="P101" i="15"/>
  <c r="AX70" i="3"/>
  <c r="AX71" i="3"/>
  <c r="AX72" i="3"/>
  <c r="AX73" i="3"/>
  <c r="AX74" i="3"/>
  <c r="AX75" i="3"/>
  <c r="AX76" i="3"/>
  <c r="AX77" i="3"/>
  <c r="AX78" i="3"/>
  <c r="AX79" i="3"/>
  <c r="AX81" i="3"/>
  <c r="AX82" i="3"/>
  <c r="AX84" i="3"/>
  <c r="P73" i="15" s="1"/>
  <c r="AX85" i="3"/>
  <c r="AX86" i="3"/>
  <c r="AX87" i="3"/>
  <c r="AX88" i="3"/>
  <c r="AX90" i="3"/>
  <c r="AX91" i="3"/>
  <c r="AX92" i="3"/>
  <c r="AX93" i="3"/>
  <c r="AX94" i="3"/>
  <c r="AX95" i="3"/>
  <c r="AX96" i="3"/>
  <c r="AX97" i="3"/>
  <c r="AX98" i="3"/>
  <c r="AX99" i="3"/>
  <c r="P25" i="15" s="1"/>
  <c r="AX100" i="3"/>
  <c r="AX101" i="3"/>
  <c r="P27" i="15" s="1"/>
  <c r="AX102" i="3"/>
  <c r="P28" i="15" s="1"/>
  <c r="AX103" i="3"/>
  <c r="AX104" i="3"/>
  <c r="P29" i="15" s="1"/>
  <c r="AX106" i="3"/>
  <c r="AX107" i="3"/>
  <c r="P32" i="15" s="1"/>
  <c r="AX110" i="3"/>
  <c r="P30" i="15" s="1"/>
  <c r="AX111" i="3"/>
  <c r="P31" i="15" s="1"/>
  <c r="AX112" i="3"/>
  <c r="AX113" i="3"/>
  <c r="P33" i="15" s="1"/>
  <c r="AX114" i="3"/>
  <c r="AX115" i="3"/>
  <c r="AX116" i="3"/>
  <c r="AX117" i="3"/>
  <c r="AX118" i="3"/>
  <c r="AX119" i="3"/>
  <c r="AX120" i="3"/>
  <c r="AX121" i="3"/>
  <c r="AX122" i="3"/>
  <c r="AX123" i="3"/>
  <c r="AX124" i="3"/>
  <c r="AX125" i="3"/>
  <c r="P82" i="15" s="1"/>
  <c r="AX126" i="3"/>
  <c r="P83" i="15" s="1"/>
  <c r="AX127" i="3"/>
  <c r="AX128" i="3"/>
  <c r="AX129" i="3"/>
  <c r="AX130" i="3"/>
  <c r="AX132" i="3"/>
  <c r="P88" i="15" s="1"/>
  <c r="AX135" i="3"/>
  <c r="P91" i="15" s="1"/>
  <c r="AX136" i="3"/>
  <c r="AX137" i="3"/>
  <c r="AX139" i="3"/>
  <c r="P92" i="15" s="1"/>
  <c r="AX140" i="3"/>
  <c r="AX141" i="3"/>
  <c r="AX142" i="3"/>
  <c r="AX143" i="3"/>
  <c r="AO153" i="3"/>
  <c r="AN153" i="3"/>
  <c r="AM153" i="3"/>
  <c r="AO154" i="3"/>
  <c r="N209" i="15" s="1"/>
  <c r="AN154" i="3"/>
  <c r="L93" i="15" s="1"/>
  <c r="AM154" i="3"/>
  <c r="AO150" i="3"/>
  <c r="AN150" i="3"/>
  <c r="AM150" i="3"/>
  <c r="AO148" i="3"/>
  <c r="N160" i="15" s="1"/>
  <c r="AN148" i="3"/>
  <c r="AM148" i="3"/>
  <c r="N159" i="15"/>
  <c r="AN145" i="3"/>
  <c r="AM145" i="3"/>
  <c r="AO144" i="3"/>
  <c r="AN144" i="3"/>
  <c r="AM144" i="3"/>
  <c r="AE154" i="3"/>
  <c r="J209" i="15" s="1"/>
  <c r="AE153" i="3"/>
  <c r="AE150" i="3"/>
  <c r="AE148" i="3"/>
  <c r="J160" i="15" s="1"/>
  <c r="AD148" i="3"/>
  <c r="J159" i="15"/>
  <c r="AD145" i="3"/>
  <c r="AE144" i="3"/>
  <c r="AD144" i="3"/>
  <c r="AC153" i="3"/>
  <c r="AC154" i="3"/>
  <c r="AC148" i="3"/>
  <c r="AC150" i="3"/>
  <c r="AC144"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8" i="3"/>
  <c r="AC49" i="3"/>
  <c r="AC50" i="3"/>
  <c r="AC51" i="3"/>
  <c r="AC52" i="3"/>
  <c r="AC53" i="3"/>
  <c r="AC54" i="3"/>
  <c r="AC55" i="3"/>
  <c r="AC56" i="3"/>
  <c r="AC57" i="3"/>
  <c r="AC58" i="3"/>
  <c r="AC59" i="3"/>
  <c r="AC60" i="3"/>
  <c r="AC61" i="3"/>
  <c r="AC62" i="3"/>
  <c r="AC64" i="3"/>
  <c r="AC65" i="3"/>
  <c r="AC66" i="3"/>
  <c r="AC67" i="3"/>
  <c r="AC70" i="3"/>
  <c r="AC71" i="3"/>
  <c r="AC72" i="3"/>
  <c r="AC73" i="3"/>
  <c r="AC74" i="3"/>
  <c r="AC75" i="3"/>
  <c r="AC76" i="3"/>
  <c r="AC77" i="3"/>
  <c r="AC78" i="3"/>
  <c r="AC79" i="3"/>
  <c r="AC81" i="3"/>
  <c r="AC82" i="3"/>
  <c r="AC84" i="3"/>
  <c r="AC85" i="3"/>
  <c r="AC86" i="3"/>
  <c r="AC87" i="3"/>
  <c r="AC88" i="3"/>
  <c r="AC90" i="3"/>
  <c r="AC91" i="3"/>
  <c r="AC94" i="3"/>
  <c r="AC95" i="3"/>
  <c r="AC96" i="3"/>
  <c r="AC97" i="3"/>
  <c r="AC98" i="3"/>
  <c r="AC99" i="3"/>
  <c r="AC100" i="3"/>
  <c r="AC101" i="3"/>
  <c r="AC102" i="3"/>
  <c r="AC103" i="3"/>
  <c r="AC104" i="3"/>
  <c r="AC105" i="3"/>
  <c r="AC106" i="3"/>
  <c r="AC107" i="3"/>
  <c r="AC110" i="3"/>
  <c r="AC111" i="3"/>
  <c r="AC112" i="3"/>
  <c r="AC113" i="3"/>
  <c r="AC114" i="3"/>
  <c r="AC115" i="3"/>
  <c r="AC116" i="3"/>
  <c r="AC117" i="3"/>
  <c r="AC118" i="3"/>
  <c r="AC119" i="3"/>
  <c r="AC120" i="3"/>
  <c r="AC121" i="3"/>
  <c r="AC122" i="3"/>
  <c r="AC123" i="3"/>
  <c r="AC124" i="3"/>
  <c r="AC125" i="3"/>
  <c r="AC126" i="3"/>
  <c r="AC127" i="3"/>
  <c r="AC128" i="3"/>
  <c r="AC129" i="3"/>
  <c r="AC130" i="3"/>
  <c r="AC132" i="3"/>
  <c r="AC133" i="3"/>
  <c r="AC134" i="3"/>
  <c r="AC135" i="3"/>
  <c r="AC136" i="3"/>
  <c r="AC137" i="3"/>
  <c r="AC139" i="3"/>
  <c r="AC140" i="3"/>
  <c r="AC142" i="3"/>
  <c r="AC143"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70" i="3"/>
  <c r="AW71" i="3"/>
  <c r="AW72" i="3"/>
  <c r="AW73" i="3"/>
  <c r="AW74" i="3"/>
  <c r="AW75" i="3"/>
  <c r="AW76" i="3"/>
  <c r="AW77" i="3"/>
  <c r="AW78" i="3"/>
  <c r="AW79" i="3"/>
  <c r="AW80" i="3"/>
  <c r="AW81" i="3"/>
  <c r="AW82" i="3"/>
  <c r="AW83" i="3"/>
  <c r="AW84" i="3"/>
  <c r="AW85" i="3"/>
  <c r="AW86" i="3"/>
  <c r="AW87" i="3"/>
  <c r="AW88" i="3"/>
  <c r="AW90" i="3"/>
  <c r="AW91" i="3"/>
  <c r="AW92" i="3"/>
  <c r="AW93" i="3"/>
  <c r="AW94" i="3"/>
  <c r="AW95" i="3"/>
  <c r="AW96" i="3"/>
  <c r="AW97" i="3"/>
  <c r="AW98" i="3"/>
  <c r="AW99" i="3"/>
  <c r="AW100" i="3"/>
  <c r="AW101" i="3"/>
  <c r="AW102" i="3"/>
  <c r="AW103" i="3"/>
  <c r="AW104" i="3"/>
  <c r="AW105" i="3"/>
  <c r="AW106" i="3"/>
  <c r="AW107" i="3"/>
  <c r="AW108" i="3"/>
  <c r="AW109" i="3"/>
  <c r="AW110" i="3"/>
  <c r="AW111" i="3"/>
  <c r="AW112" i="3"/>
  <c r="AW113" i="3"/>
  <c r="AW114" i="3"/>
  <c r="AW115" i="3"/>
  <c r="AW116" i="3"/>
  <c r="AW117" i="3"/>
  <c r="AW118" i="3"/>
  <c r="AW119" i="3"/>
  <c r="AW120" i="3"/>
  <c r="AW121" i="3"/>
  <c r="AW122" i="3"/>
  <c r="AW123" i="3"/>
  <c r="AW124" i="3"/>
  <c r="AW125" i="3"/>
  <c r="AW126" i="3"/>
  <c r="AW127" i="3"/>
  <c r="AW128" i="3"/>
  <c r="AW129" i="3"/>
  <c r="AW130" i="3"/>
  <c r="AW132" i="3"/>
  <c r="AW133" i="3"/>
  <c r="AW134" i="3"/>
  <c r="AW135" i="3"/>
  <c r="AW136" i="3"/>
  <c r="AW137" i="3"/>
  <c r="AW139" i="3"/>
  <c r="AW140" i="3"/>
  <c r="AW141" i="3"/>
  <c r="AW142" i="3"/>
  <c r="AW143" i="3"/>
  <c r="AO9" i="3"/>
  <c r="N112" i="15" s="1"/>
  <c r="AO12" i="3"/>
  <c r="N163" i="15" s="1"/>
  <c r="AO13" i="3"/>
  <c r="N173" i="15" s="1"/>
  <c r="AO14" i="3"/>
  <c r="N174" i="15" s="1"/>
  <c r="AO15" i="3"/>
  <c r="AO16" i="3"/>
  <c r="AO17" i="3"/>
  <c r="AO18" i="3"/>
  <c r="AO19" i="3"/>
  <c r="AO20" i="3"/>
  <c r="AO21" i="3"/>
  <c r="AO22" i="3"/>
  <c r="AO23" i="3"/>
  <c r="AO24" i="3"/>
  <c r="AO25" i="3"/>
  <c r="AO26" i="3"/>
  <c r="AO27" i="3"/>
  <c r="AO28" i="3"/>
  <c r="AO29" i="3"/>
  <c r="AO30" i="3"/>
  <c r="AO31" i="3"/>
  <c r="AO32" i="3"/>
  <c r="AO34" i="3"/>
  <c r="AO35" i="3"/>
  <c r="AO36" i="3"/>
  <c r="N141" i="15" s="1"/>
  <c r="AO37" i="3"/>
  <c r="N142" i="15" s="1"/>
  <c r="AO38" i="3"/>
  <c r="N143" i="15" s="1"/>
  <c r="AO39" i="3"/>
  <c r="N144" i="15" s="1"/>
  <c r="AO40" i="3"/>
  <c r="N145" i="15" s="1"/>
  <c r="AO41" i="3"/>
  <c r="N146" i="15" s="1"/>
  <c r="AO42" i="3"/>
  <c r="N147" i="15" s="1"/>
  <c r="AO43" i="3"/>
  <c r="N148" i="15" s="1"/>
  <c r="AO44" i="3"/>
  <c r="AO45" i="3"/>
  <c r="N164" i="15" s="1"/>
  <c r="AO46" i="3"/>
  <c r="N175" i="15" s="1"/>
  <c r="AO47" i="3"/>
  <c r="N176" i="15" s="1"/>
  <c r="AO48" i="3"/>
  <c r="N118" i="15" s="1"/>
  <c r="AO49" i="3"/>
  <c r="N119" i="15" s="1"/>
  <c r="AO50" i="3"/>
  <c r="N120" i="15" s="1"/>
  <c r="AO51" i="3"/>
  <c r="N121" i="15" s="1"/>
  <c r="AO52" i="3"/>
  <c r="N122" i="15" s="1"/>
  <c r="AO53" i="3"/>
  <c r="N123" i="15" s="1"/>
  <c r="AO54" i="3"/>
  <c r="N124" i="15" s="1"/>
  <c r="AO55" i="3"/>
  <c r="N125" i="15" s="1"/>
  <c r="AO56" i="3"/>
  <c r="N126" i="15" s="1"/>
  <c r="AO57" i="3"/>
  <c r="N127" i="15" s="1"/>
  <c r="N128" i="15"/>
  <c r="AO59" i="3"/>
  <c r="N129" i="15" s="1"/>
  <c r="AO60" i="3"/>
  <c r="N130" i="15" s="1"/>
  <c r="AO61" i="3"/>
  <c r="N131" i="15" s="1"/>
  <c r="AO62" i="3"/>
  <c r="N132" i="15" s="1"/>
  <c r="AO63" i="3"/>
  <c r="N196" i="15" s="1"/>
  <c r="AO64" i="3"/>
  <c r="N165" i="15" s="1"/>
  <c r="AO65" i="3"/>
  <c r="N177" i="15" s="1"/>
  <c r="AO66" i="3"/>
  <c r="N178" i="15" s="1"/>
  <c r="AO67" i="3"/>
  <c r="N133" i="15" s="1"/>
  <c r="N134" i="15"/>
  <c r="AO70" i="3"/>
  <c r="N136" i="15" s="1"/>
  <c r="AO71" i="3"/>
  <c r="N197" i="15" s="1"/>
  <c r="AO72" i="3"/>
  <c r="N137" i="15" s="1"/>
  <c r="AO73" i="3"/>
  <c r="N203" i="15" s="1"/>
  <c r="AO74" i="3"/>
  <c r="N138" i="15" s="1"/>
  <c r="AO75" i="3"/>
  <c r="N139" i="15" s="1"/>
  <c r="AO76" i="3"/>
  <c r="N166" i="15" s="1"/>
  <c r="AO77" i="3"/>
  <c r="N179" i="15" s="1"/>
  <c r="AO78" i="3"/>
  <c r="N180" i="15" s="1"/>
  <c r="AO79" i="3"/>
  <c r="N199" i="15" s="1"/>
  <c r="AO80" i="3"/>
  <c r="AO81" i="3"/>
  <c r="AO82" i="3"/>
  <c r="AO84" i="3"/>
  <c r="N201" i="15" s="1"/>
  <c r="AO85" i="3"/>
  <c r="AO86" i="3"/>
  <c r="AO87" i="3"/>
  <c r="AO88" i="3"/>
  <c r="AO90" i="3"/>
  <c r="N181" i="15" s="1"/>
  <c r="AO91" i="3"/>
  <c r="N182" i="15" s="1"/>
  <c r="AO94" i="3"/>
  <c r="AO95" i="3"/>
  <c r="N105" i="15" s="1"/>
  <c r="N117" i="15" s="1"/>
  <c r="AO96" i="3"/>
  <c r="N106" i="15" s="1"/>
  <c r="AO97" i="3"/>
  <c r="N107" i="15" s="1"/>
  <c r="AO98" i="3"/>
  <c r="N108" i="15" s="1"/>
  <c r="AO99" i="3"/>
  <c r="N183" i="15" s="1"/>
  <c r="AO100" i="3"/>
  <c r="N184" i="15" s="1"/>
  <c r="AO101" i="3"/>
  <c r="N212" i="15" s="1"/>
  <c r="AO102" i="3"/>
  <c r="N213" i="15" s="1"/>
  <c r="AO103" i="3"/>
  <c r="AO104" i="3"/>
  <c r="N185" i="15" s="1"/>
  <c r="AO105" i="3"/>
  <c r="AO106" i="3"/>
  <c r="N109" i="15" s="1"/>
  <c r="AO107" i="3"/>
  <c r="N110" i="15" s="1"/>
  <c r="AO110" i="3"/>
  <c r="N186" i="15" s="1"/>
  <c r="AO111" i="3"/>
  <c r="N111" i="15" s="1"/>
  <c r="AO112" i="3"/>
  <c r="AO113" i="3"/>
  <c r="N187" i="15" s="1"/>
  <c r="AO114" i="3"/>
  <c r="N168" i="15" s="1"/>
  <c r="AO115" i="3"/>
  <c r="N188" i="15" s="1"/>
  <c r="AO116" i="3"/>
  <c r="N189" i="15" s="1"/>
  <c r="AO117" i="3"/>
  <c r="N190" i="15" s="1"/>
  <c r="AO118" i="3"/>
  <c r="N191" i="15" s="1"/>
  <c r="AO119" i="3"/>
  <c r="N114" i="15" s="1"/>
  <c r="AO120" i="3"/>
  <c r="N192" i="15" s="1"/>
  <c r="AO121" i="3"/>
  <c r="N214" i="15" s="1"/>
  <c r="AO122" i="3"/>
  <c r="N169" i="15" s="1"/>
  <c r="AO123" i="3"/>
  <c r="N193" i="15" s="1"/>
  <c r="AO124" i="3"/>
  <c r="N194" i="15" s="1"/>
  <c r="AO125" i="3"/>
  <c r="N150" i="15" s="1"/>
  <c r="AO126" i="3"/>
  <c r="N151" i="15" s="1"/>
  <c r="AO127" i="3"/>
  <c r="N152" i="15" s="1"/>
  <c r="AO128" i="3"/>
  <c r="N153" i="15" s="1"/>
  <c r="AO129" i="3"/>
  <c r="N204" i="15" s="1"/>
  <c r="AO130" i="3"/>
  <c r="N205" i="15" s="1"/>
  <c r="AO132" i="3"/>
  <c r="N154" i="15" s="1"/>
  <c r="AO133" i="3"/>
  <c r="N155" i="15" s="1"/>
  <c r="AO134" i="3"/>
  <c r="N156" i="15" s="1"/>
  <c r="AO135" i="3"/>
  <c r="N207" i="15" s="1"/>
  <c r="AO136" i="3"/>
  <c r="N208" i="15" s="1"/>
  <c r="AO137" i="3"/>
  <c r="N157" i="15" s="1"/>
  <c r="AO139" i="3"/>
  <c r="N158" i="15" s="1"/>
  <c r="AO140" i="3"/>
  <c r="N170" i="15" s="1"/>
  <c r="AO141" i="3"/>
  <c r="N115" i="15" s="1"/>
  <c r="AO142" i="3"/>
  <c r="AO143" i="3"/>
  <c r="N116" i="15" s="1"/>
  <c r="AN9" i="3"/>
  <c r="AN12" i="3"/>
  <c r="AN13" i="3"/>
  <c r="AN14" i="3"/>
  <c r="AN15" i="3"/>
  <c r="AN16" i="3"/>
  <c r="AN17" i="3"/>
  <c r="AN18" i="3"/>
  <c r="AN19" i="3"/>
  <c r="AN20" i="3"/>
  <c r="AN21" i="3"/>
  <c r="AN22" i="3"/>
  <c r="AN23" i="3"/>
  <c r="AN24" i="3"/>
  <c r="AN25" i="3"/>
  <c r="AN26" i="3"/>
  <c r="AN27" i="3"/>
  <c r="AN28" i="3"/>
  <c r="AN29" i="3"/>
  <c r="AN30" i="3"/>
  <c r="AN31" i="3"/>
  <c r="AN32" i="3"/>
  <c r="AN34" i="3"/>
  <c r="AN35" i="3"/>
  <c r="AN36" i="3"/>
  <c r="L58" i="15" s="1"/>
  <c r="AN37" i="3"/>
  <c r="L59" i="15" s="1"/>
  <c r="AN38" i="3"/>
  <c r="AN39" i="3"/>
  <c r="AN40" i="3"/>
  <c r="L60" i="15" s="1"/>
  <c r="AN41" i="3"/>
  <c r="L61" i="15" s="1"/>
  <c r="AN42" i="3"/>
  <c r="L63" i="15" s="1"/>
  <c r="AN43" i="3"/>
  <c r="AN44" i="3"/>
  <c r="L62" i="15" s="1"/>
  <c r="AN45" i="3"/>
  <c r="AN46" i="3"/>
  <c r="AN47" i="3"/>
  <c r="AN48" i="3"/>
  <c r="L96" i="15" s="1"/>
  <c r="AN49" i="3"/>
  <c r="AN50" i="3"/>
  <c r="AN51" i="3"/>
  <c r="AN53" i="3"/>
  <c r="L98" i="15" s="1"/>
  <c r="AN55" i="3"/>
  <c r="AN56" i="3"/>
  <c r="AN57" i="3"/>
  <c r="AN58" i="3"/>
  <c r="AN59" i="3"/>
  <c r="AN60" i="3"/>
  <c r="AN61" i="3"/>
  <c r="AN62" i="3"/>
  <c r="AN63" i="3"/>
  <c r="L99" i="15" s="1"/>
  <c r="AN64" i="3"/>
  <c r="AN65" i="3"/>
  <c r="AN66" i="3"/>
  <c r="AN67" i="3"/>
  <c r="L101" i="15"/>
  <c r="AN70" i="3"/>
  <c r="AN71" i="3"/>
  <c r="AN72" i="3"/>
  <c r="AN73" i="3"/>
  <c r="AN74" i="3"/>
  <c r="AN75" i="3"/>
  <c r="AN76" i="3"/>
  <c r="AN77" i="3"/>
  <c r="AN78" i="3"/>
  <c r="AN79" i="3"/>
  <c r="AN81" i="3"/>
  <c r="AN82" i="3"/>
  <c r="AN84" i="3"/>
  <c r="L73" i="15" s="1"/>
  <c r="AN85" i="3"/>
  <c r="AN86" i="3"/>
  <c r="AN87" i="3"/>
  <c r="AN88" i="3"/>
  <c r="AN90" i="3"/>
  <c r="AN91" i="3"/>
  <c r="AN92" i="3"/>
  <c r="AN93" i="3"/>
  <c r="AN94" i="3"/>
  <c r="AN95" i="3"/>
  <c r="AN96" i="3"/>
  <c r="AN97" i="3"/>
  <c r="AN98" i="3"/>
  <c r="AN99" i="3"/>
  <c r="L25" i="15" s="1"/>
  <c r="AN100" i="3"/>
  <c r="AN101" i="3"/>
  <c r="L27" i="15" s="1"/>
  <c r="AN102" i="3"/>
  <c r="L28" i="15" s="1"/>
  <c r="AN103" i="3"/>
  <c r="AN104" i="3"/>
  <c r="L29" i="15" s="1"/>
  <c r="AN105" i="3"/>
  <c r="AN106" i="3"/>
  <c r="AN107" i="3"/>
  <c r="L32" i="15" s="1"/>
  <c r="AN108" i="3"/>
  <c r="AN110" i="3"/>
  <c r="L30" i="15" s="1"/>
  <c r="AN111" i="3"/>
  <c r="L31" i="15" s="1"/>
  <c r="AN112" i="3"/>
  <c r="AN113" i="3"/>
  <c r="L33" i="15" s="1"/>
  <c r="AN114" i="3"/>
  <c r="AN115" i="3"/>
  <c r="AN116" i="3"/>
  <c r="AN117" i="3"/>
  <c r="AN118" i="3"/>
  <c r="AN119" i="3"/>
  <c r="AN120" i="3"/>
  <c r="AN121" i="3"/>
  <c r="AN122" i="3"/>
  <c r="AN123" i="3"/>
  <c r="AN124" i="3"/>
  <c r="AN125" i="3"/>
  <c r="L82" i="15" s="1"/>
  <c r="AN126" i="3"/>
  <c r="L83" i="15" s="1"/>
  <c r="AN127" i="3"/>
  <c r="AN128" i="3"/>
  <c r="AN129" i="3"/>
  <c r="AN130" i="3"/>
  <c r="AN132" i="3"/>
  <c r="L88" i="15" s="1"/>
  <c r="AN135" i="3"/>
  <c r="L91" i="15" s="1"/>
  <c r="AN136" i="3"/>
  <c r="AN137" i="3"/>
  <c r="AN139" i="3"/>
  <c r="L92" i="15" s="1"/>
  <c r="AN140" i="3"/>
  <c r="AN141" i="3"/>
  <c r="AN142" i="3"/>
  <c r="AN143" i="3"/>
  <c r="AM12" i="3"/>
  <c r="AM13" i="3"/>
  <c r="AM14" i="3"/>
  <c r="AM15" i="3"/>
  <c r="AM16" i="3"/>
  <c r="AM17" i="3"/>
  <c r="AM18" i="3"/>
  <c r="AM19" i="3"/>
  <c r="AM20" i="3"/>
  <c r="AM21" i="3"/>
  <c r="AM22" i="3"/>
  <c r="AM23" i="3"/>
  <c r="AM24" i="3"/>
  <c r="AM25" i="3"/>
  <c r="AM26" i="3"/>
  <c r="AM27" i="3"/>
  <c r="AM28" i="3"/>
  <c r="AM29" i="3"/>
  <c r="AM30" i="3"/>
  <c r="AM31" i="3"/>
  <c r="AM32"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70" i="3"/>
  <c r="AM71" i="3"/>
  <c r="AM72" i="3"/>
  <c r="AM73" i="3"/>
  <c r="AM74" i="3"/>
  <c r="AM75" i="3"/>
  <c r="AM76" i="3"/>
  <c r="AM77" i="3"/>
  <c r="AM78" i="3"/>
  <c r="AM79" i="3"/>
  <c r="AM80" i="3"/>
  <c r="AM81" i="3"/>
  <c r="AM82" i="3"/>
  <c r="AM83" i="3"/>
  <c r="AM84" i="3"/>
  <c r="AM85" i="3"/>
  <c r="AM86" i="3"/>
  <c r="AM87" i="3"/>
  <c r="AM88"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2" i="3"/>
  <c r="AM133" i="3"/>
  <c r="AM135" i="3"/>
  <c r="AM136" i="3"/>
  <c r="AM137" i="3"/>
  <c r="AM139" i="3"/>
  <c r="AM140" i="3"/>
  <c r="AM141" i="3"/>
  <c r="AM142" i="3"/>
  <c r="AM143" i="3"/>
  <c r="AE14" i="3"/>
  <c r="J174" i="15" s="1"/>
  <c r="AE12" i="3"/>
  <c r="J163" i="15" s="1"/>
  <c r="AE13" i="3"/>
  <c r="J173" i="15" s="1"/>
  <c r="AE15" i="3"/>
  <c r="AE16" i="3"/>
  <c r="AE17" i="3"/>
  <c r="AE18" i="3"/>
  <c r="AE19" i="3"/>
  <c r="AE20" i="3"/>
  <c r="AE21" i="3"/>
  <c r="AE22" i="3"/>
  <c r="AE23" i="3"/>
  <c r="AE24" i="3"/>
  <c r="AE25" i="3"/>
  <c r="AE26" i="3"/>
  <c r="AE27" i="3"/>
  <c r="AE28" i="3"/>
  <c r="AE29" i="3"/>
  <c r="AE30" i="3"/>
  <c r="AE31" i="3"/>
  <c r="AE32" i="3"/>
  <c r="AE33" i="3"/>
  <c r="AE34" i="3"/>
  <c r="AE35" i="3"/>
  <c r="AE36" i="3"/>
  <c r="J141" i="15" s="1"/>
  <c r="AE37" i="3"/>
  <c r="J142" i="15" s="1"/>
  <c r="AE38" i="3"/>
  <c r="J143" i="15" s="1"/>
  <c r="AE39" i="3"/>
  <c r="J144" i="15" s="1"/>
  <c r="AE40" i="3"/>
  <c r="J145" i="15" s="1"/>
  <c r="AE41" i="3"/>
  <c r="J146" i="15" s="1"/>
  <c r="AE42" i="3"/>
  <c r="J147" i="15" s="1"/>
  <c r="AE43" i="3"/>
  <c r="J148" i="15" s="1"/>
  <c r="AE44" i="3"/>
  <c r="AE45" i="3"/>
  <c r="J164" i="15" s="1"/>
  <c r="AE46" i="3"/>
  <c r="J175" i="15" s="1"/>
  <c r="AE47" i="3"/>
  <c r="J176" i="15" s="1"/>
  <c r="AE48" i="3"/>
  <c r="J118" i="15" s="1"/>
  <c r="AE49" i="3"/>
  <c r="J119" i="15" s="1"/>
  <c r="AE50" i="3"/>
  <c r="J120" i="15" s="1"/>
  <c r="AE51" i="3"/>
  <c r="J121" i="15" s="1"/>
  <c r="AE52" i="3"/>
  <c r="J122" i="15" s="1"/>
  <c r="AE53" i="3"/>
  <c r="J123" i="15" s="1"/>
  <c r="AE54" i="3"/>
  <c r="J124" i="15" s="1"/>
  <c r="AE55" i="3"/>
  <c r="J125" i="15" s="1"/>
  <c r="AE56" i="3"/>
  <c r="J126" i="15" s="1"/>
  <c r="AE57" i="3"/>
  <c r="J127" i="15" s="1"/>
  <c r="J128" i="15"/>
  <c r="AE59" i="3"/>
  <c r="J129" i="15" s="1"/>
  <c r="AE60" i="3"/>
  <c r="J130" i="15" s="1"/>
  <c r="AE61" i="3"/>
  <c r="J131" i="15" s="1"/>
  <c r="AE62" i="3"/>
  <c r="J132" i="15" s="1"/>
  <c r="AE63" i="3"/>
  <c r="J196" i="15" s="1"/>
  <c r="AE64" i="3"/>
  <c r="J165" i="15" s="1"/>
  <c r="AE65" i="3"/>
  <c r="J177" i="15" s="1"/>
  <c r="AE66" i="3"/>
  <c r="J178" i="15" s="1"/>
  <c r="AE67" i="3"/>
  <c r="J133" i="15" s="1"/>
  <c r="J134" i="15"/>
  <c r="AE70" i="3"/>
  <c r="J136" i="15" s="1"/>
  <c r="AE71" i="3"/>
  <c r="J197" i="15" s="1"/>
  <c r="AE72" i="3"/>
  <c r="J137" i="15" s="1"/>
  <c r="AE73" i="3"/>
  <c r="J203" i="15" s="1"/>
  <c r="AE74" i="3"/>
  <c r="J138" i="15" s="1"/>
  <c r="AE75" i="3"/>
  <c r="J139" i="15" s="1"/>
  <c r="AE76" i="3"/>
  <c r="J166" i="15" s="1"/>
  <c r="AE77" i="3"/>
  <c r="J179" i="15" s="1"/>
  <c r="AE79" i="3"/>
  <c r="J199" i="15" s="1"/>
  <c r="AE80" i="3"/>
  <c r="AE81" i="3"/>
  <c r="AE82" i="3"/>
  <c r="AE84" i="3"/>
  <c r="J201" i="15" s="1"/>
  <c r="AE85" i="3"/>
  <c r="AE86" i="3"/>
  <c r="AE87" i="3"/>
  <c r="AE88" i="3"/>
  <c r="AE90" i="3"/>
  <c r="J181" i="15" s="1"/>
  <c r="AE91" i="3"/>
  <c r="J182" i="15" s="1"/>
  <c r="AE94" i="3"/>
  <c r="AE95" i="3"/>
  <c r="J105" i="15" s="1"/>
  <c r="J117" i="15" s="1"/>
  <c r="AE96" i="3"/>
  <c r="J106" i="15" s="1"/>
  <c r="AE97" i="3"/>
  <c r="J107" i="15" s="1"/>
  <c r="AE98" i="3"/>
  <c r="J108" i="15" s="1"/>
  <c r="AE99" i="3"/>
  <c r="J183" i="15" s="1"/>
  <c r="AE100" i="3"/>
  <c r="J184" i="15" s="1"/>
  <c r="AE101" i="3"/>
  <c r="J212" i="15" s="1"/>
  <c r="AE102" i="3"/>
  <c r="J213" i="15" s="1"/>
  <c r="AE103" i="3"/>
  <c r="AE104" i="3"/>
  <c r="J185" i="15" s="1"/>
  <c r="AE105" i="3"/>
  <c r="AE106" i="3"/>
  <c r="J109" i="15" s="1"/>
  <c r="AE107" i="3"/>
  <c r="J110" i="15" s="1"/>
  <c r="AE110" i="3"/>
  <c r="J186" i="15" s="1"/>
  <c r="AE111" i="3"/>
  <c r="J111" i="15" s="1"/>
  <c r="AE112" i="3"/>
  <c r="AE113" i="3"/>
  <c r="J187" i="15" s="1"/>
  <c r="AE114" i="3"/>
  <c r="J168" i="15" s="1"/>
  <c r="AE115" i="3"/>
  <c r="J188" i="15" s="1"/>
  <c r="AE116" i="3"/>
  <c r="J189" i="15" s="1"/>
  <c r="AE117" i="3"/>
  <c r="J190" i="15" s="1"/>
  <c r="AE118" i="3"/>
  <c r="J191" i="15" s="1"/>
  <c r="AE119" i="3"/>
  <c r="J114" i="15" s="1"/>
  <c r="AE120" i="3"/>
  <c r="J192" i="15" s="1"/>
  <c r="AE121" i="3"/>
  <c r="J214" i="15" s="1"/>
  <c r="AE122" i="3"/>
  <c r="J169" i="15" s="1"/>
  <c r="AE123" i="3"/>
  <c r="J193" i="15" s="1"/>
  <c r="AE124" i="3"/>
  <c r="J194" i="15" s="1"/>
  <c r="AE125" i="3"/>
  <c r="J150" i="15" s="1"/>
  <c r="AE126" i="3"/>
  <c r="J151" i="15" s="1"/>
  <c r="AE127" i="3"/>
  <c r="J152" i="15" s="1"/>
  <c r="AE128" i="3"/>
  <c r="J153" i="15" s="1"/>
  <c r="AE129" i="3"/>
  <c r="J204" i="15" s="1"/>
  <c r="AE130" i="3"/>
  <c r="J205" i="15" s="1"/>
  <c r="AE132" i="3"/>
  <c r="J154" i="15" s="1"/>
  <c r="AE133" i="3"/>
  <c r="J155" i="15" s="1"/>
  <c r="AE134" i="3"/>
  <c r="J156" i="15" s="1"/>
  <c r="AE135" i="3"/>
  <c r="J207" i="15" s="1"/>
  <c r="AE136" i="3"/>
  <c r="J208" i="15" s="1"/>
  <c r="AE137" i="3"/>
  <c r="J157" i="15" s="1"/>
  <c r="AE139" i="3"/>
  <c r="J158" i="15" s="1"/>
  <c r="AE140" i="3"/>
  <c r="J170" i="15" s="1"/>
  <c r="AE141" i="3"/>
  <c r="J115" i="15" s="1"/>
  <c r="AE142" i="3"/>
  <c r="AE143" i="3"/>
  <c r="J116" i="15" s="1"/>
  <c r="AD14" i="3"/>
  <c r="AD12" i="3"/>
  <c r="AD13" i="3"/>
  <c r="AD15" i="3"/>
  <c r="AD16" i="3"/>
  <c r="AD17" i="3"/>
  <c r="AD18" i="3"/>
  <c r="AD19" i="3"/>
  <c r="AD20" i="3"/>
  <c r="AD21" i="3"/>
  <c r="AD22" i="3"/>
  <c r="AD23" i="3"/>
  <c r="AD24" i="3"/>
  <c r="AD25" i="3"/>
  <c r="AD26" i="3"/>
  <c r="AD27" i="3"/>
  <c r="AD29" i="3"/>
  <c r="AD30" i="3"/>
  <c r="AD31" i="3"/>
  <c r="AD32" i="3"/>
  <c r="AD33" i="3"/>
  <c r="AD34" i="3"/>
  <c r="AD35" i="3"/>
  <c r="AD36" i="3"/>
  <c r="H58" i="15" s="1"/>
  <c r="AD37" i="3"/>
  <c r="H59" i="15" s="1"/>
  <c r="AD38" i="3"/>
  <c r="AD39" i="3"/>
  <c r="AD40" i="3"/>
  <c r="H60" i="15" s="1"/>
  <c r="AD41" i="3"/>
  <c r="H61" i="15" s="1"/>
  <c r="AD42" i="3"/>
  <c r="H63" i="15" s="1"/>
  <c r="AD43" i="3"/>
  <c r="AD45" i="3"/>
  <c r="AD46" i="3"/>
  <c r="AD47" i="3"/>
  <c r="AD48" i="3"/>
  <c r="H96" i="15" s="1"/>
  <c r="AD49" i="3"/>
  <c r="AD50" i="3"/>
  <c r="AD51" i="3"/>
  <c r="AD53" i="3"/>
  <c r="H98" i="15" s="1"/>
  <c r="AD56" i="3"/>
  <c r="AD57" i="3"/>
  <c r="AD58" i="3"/>
  <c r="AD59" i="3"/>
  <c r="AD60" i="3"/>
  <c r="AD61" i="3"/>
  <c r="AD62" i="3"/>
  <c r="AD63" i="3"/>
  <c r="H99" i="15" s="1"/>
  <c r="AD64" i="3"/>
  <c r="AD65" i="3"/>
  <c r="AD66" i="3"/>
  <c r="AD70" i="3"/>
  <c r="AD71" i="3"/>
  <c r="AD72" i="3"/>
  <c r="AD75" i="3"/>
  <c r="AD76" i="3"/>
  <c r="AD77" i="3"/>
  <c r="AD78" i="3"/>
  <c r="AD79" i="3"/>
  <c r="AD80" i="3"/>
  <c r="AD81" i="3"/>
  <c r="AD82" i="3"/>
  <c r="AD84" i="3"/>
  <c r="H73" i="15" s="1"/>
  <c r="AD85" i="3"/>
  <c r="AD86" i="3"/>
  <c r="AD87" i="3"/>
  <c r="AD88" i="3"/>
  <c r="AD90" i="3"/>
  <c r="AD91" i="3"/>
  <c r="AD92" i="3"/>
  <c r="AD95" i="3"/>
  <c r="AD96" i="3"/>
  <c r="AD97" i="3"/>
  <c r="AD98" i="3"/>
  <c r="AD100" i="3"/>
  <c r="AD101" i="3"/>
  <c r="H27" i="15" s="1"/>
  <c r="AD102" i="3"/>
  <c r="H28" i="15" s="1"/>
  <c r="AD103" i="3"/>
  <c r="AD104" i="3"/>
  <c r="H29" i="15" s="1"/>
  <c r="AD106" i="3"/>
  <c r="H19" i="15" s="1"/>
  <c r="AD107" i="3"/>
  <c r="AD110" i="3"/>
  <c r="H30" i="15" s="1"/>
  <c r="AD112" i="3"/>
  <c r="H24" i="15" s="1"/>
  <c r="AD113" i="3"/>
  <c r="H33" i="15" s="1"/>
  <c r="AD114" i="3"/>
  <c r="AD115" i="3"/>
  <c r="AD116" i="3"/>
  <c r="AD117" i="3"/>
  <c r="AD118" i="3"/>
  <c r="AD119" i="3"/>
  <c r="AD120" i="3"/>
  <c r="AD121" i="3"/>
  <c r="AD122" i="3"/>
  <c r="AD123" i="3"/>
  <c r="AD124" i="3"/>
  <c r="AD136" i="3"/>
  <c r="AD139" i="3"/>
  <c r="H92" i="15" s="1"/>
  <c r="AD140" i="3"/>
  <c r="AD141" i="3"/>
  <c r="AD142" i="3"/>
  <c r="H35" i="15" s="1"/>
  <c r="AD143" i="3"/>
  <c r="BS8" i="3"/>
  <c r="BR8" i="3"/>
  <c r="U162" i="15" s="1"/>
  <c r="BQ8" i="3"/>
  <c r="BP8" i="3"/>
  <c r="Q162" i="15" s="1"/>
  <c r="BO8" i="3"/>
  <c r="BM8" i="3"/>
  <c r="BN8" i="3"/>
  <c r="M162" i="15" s="1"/>
  <c r="BI8" i="3"/>
  <c r="V162" i="15" s="1"/>
  <c r="BH8" i="3"/>
  <c r="AY8" i="3"/>
  <c r="R162" i="15" s="1"/>
  <c r="AO8" i="3"/>
  <c r="N162" i="15" s="1"/>
  <c r="AM8" i="3"/>
  <c r="AX8" i="3"/>
  <c r="AW8" i="3"/>
  <c r="AN8" i="3"/>
  <c r="AE8" i="3"/>
  <c r="J162" i="15" s="1"/>
  <c r="AD8" i="3"/>
  <c r="AC8" i="3"/>
  <c r="BI9" i="3"/>
  <c r="V112" i="15" s="1"/>
  <c r="BH9" i="3"/>
  <c r="BG9" i="3"/>
  <c r="J112" i="15"/>
  <c r="V12" i="3"/>
  <c r="BJ12" i="3" s="1"/>
  <c r="V13" i="3"/>
  <c r="AZ13" i="3" s="1"/>
  <c r="V14" i="3"/>
  <c r="BJ14" i="3" s="1"/>
  <c r="AZ15" i="3"/>
  <c r="R37" i="15" s="1"/>
  <c r="AF16" i="3"/>
  <c r="J38" i="15" s="1"/>
  <c r="AZ17" i="3"/>
  <c r="R39" i="15" s="1"/>
  <c r="AZ19" i="3"/>
  <c r="R41" i="15" s="1"/>
  <c r="BJ20" i="3"/>
  <c r="V42" i="15" s="1"/>
  <c r="AZ21" i="3"/>
  <c r="R43" i="15" s="1"/>
  <c r="BJ22" i="3"/>
  <c r="V44" i="15" s="1"/>
  <c r="AZ23" i="3"/>
  <c r="R45" i="15" s="1"/>
  <c r="AP24" i="3"/>
  <c r="N46" i="15" s="1"/>
  <c r="BJ25" i="3"/>
  <c r="V47" i="15" s="1"/>
  <c r="BJ27" i="3"/>
  <c r="V49" i="15" s="1"/>
  <c r="BJ28" i="3"/>
  <c r="V50" i="15" s="1"/>
  <c r="AZ29" i="3"/>
  <c r="R51" i="15" s="1"/>
  <c r="BJ30" i="3"/>
  <c r="V52" i="15" s="1"/>
  <c r="AZ31" i="3"/>
  <c r="R53" i="15" s="1"/>
  <c r="AP32" i="3"/>
  <c r="N54" i="15" s="1"/>
  <c r="AZ35" i="3"/>
  <c r="R57" i="15" s="1"/>
  <c r="BJ36" i="3"/>
  <c r="V58" i="15" s="1"/>
  <c r="V37" i="3"/>
  <c r="AZ37" i="3" s="1"/>
  <c r="R59" i="15" s="1"/>
  <c r="V38" i="3"/>
  <c r="BJ38" i="3" s="1"/>
  <c r="V39" i="3"/>
  <c r="AZ39" i="3" s="1"/>
  <c r="V40" i="3"/>
  <c r="AF40" i="3" s="1"/>
  <c r="J60" i="15" s="1"/>
  <c r="V41" i="3"/>
  <c r="BJ41" i="3" s="1"/>
  <c r="V61" i="15" s="1"/>
  <c r="V42" i="3"/>
  <c r="V43" i="3"/>
  <c r="BJ43" i="3" s="1"/>
  <c r="V44" i="3"/>
  <c r="V45" i="3"/>
  <c r="AZ45" i="3" s="1"/>
  <c r="V46" i="3"/>
  <c r="BJ46" i="3" s="1"/>
  <c r="V47" i="3"/>
  <c r="AZ47" i="3" s="1"/>
  <c r="V48" i="3"/>
  <c r="AP48" i="3" s="1"/>
  <c r="N96" i="15" s="1"/>
  <c r="V49" i="3"/>
  <c r="AZ49" i="3" s="1"/>
  <c r="V50" i="3"/>
  <c r="V51" i="3"/>
  <c r="AZ51" i="3" s="1"/>
  <c r="V53" i="3"/>
  <c r="AZ53" i="3" s="1"/>
  <c r="R98" i="15" s="1"/>
  <c r="V55" i="3"/>
  <c r="AZ55" i="3" s="1"/>
  <c r="V56" i="3"/>
  <c r="AF56" i="3" s="1"/>
  <c r="V57" i="3"/>
  <c r="BJ57" i="3" s="1"/>
  <c r="V58" i="3"/>
  <c r="V59" i="3"/>
  <c r="BJ59" i="3" s="1"/>
  <c r="V60" i="3"/>
  <c r="BJ60" i="3" s="1"/>
  <c r="V61" i="3"/>
  <c r="AZ61" i="3" s="1"/>
  <c r="V62" i="3"/>
  <c r="BJ62" i="3" s="1"/>
  <c r="V63" i="3"/>
  <c r="AZ63" i="3" s="1"/>
  <c r="R99" i="15" s="1"/>
  <c r="V64" i="3"/>
  <c r="AP64" i="3" s="1"/>
  <c r="V65" i="3"/>
  <c r="AZ65" i="3" s="1"/>
  <c r="V66" i="3"/>
  <c r="AZ67" i="3"/>
  <c r="V70" i="3"/>
  <c r="AZ70" i="3" s="1"/>
  <c r="V71" i="3"/>
  <c r="BJ71" i="3" s="1"/>
  <c r="V72" i="3"/>
  <c r="AZ72" i="3" s="1"/>
  <c r="V73" i="3"/>
  <c r="BJ74" i="3"/>
  <c r="V75" i="3"/>
  <c r="V76" i="3"/>
  <c r="BJ76" i="3" s="1"/>
  <c r="V77" i="3"/>
  <c r="BJ77" i="3" s="1"/>
  <c r="V78" i="3"/>
  <c r="AZ78" i="3" s="1"/>
  <c r="V79" i="3"/>
  <c r="BJ79" i="3" s="1"/>
  <c r="V80" i="3"/>
  <c r="V81" i="3"/>
  <c r="V82" i="3"/>
  <c r="AZ82" i="3" s="1"/>
  <c r="R67" i="15" s="1"/>
  <c r="V83" i="3"/>
  <c r="V84" i="3"/>
  <c r="AZ84" i="3" s="1"/>
  <c r="R73" i="15" s="1"/>
  <c r="V85" i="3"/>
  <c r="BJ85" i="3" s="1"/>
  <c r="V68" i="15" s="1"/>
  <c r="V86" i="3"/>
  <c r="AZ86" i="3" s="1"/>
  <c r="R69" i="15" s="1"/>
  <c r="V87" i="3"/>
  <c r="BJ87" i="3" s="1"/>
  <c r="V70" i="15" s="1"/>
  <c r="V88" i="3"/>
  <c r="AZ88" i="3" s="1"/>
  <c r="R71" i="15" s="1"/>
  <c r="V90" i="3"/>
  <c r="AP90" i="3" s="1"/>
  <c r="V91" i="3"/>
  <c r="BJ91" i="3" s="1"/>
  <c r="V92" i="3"/>
  <c r="AA92" i="3" s="1"/>
  <c r="H15" i="15" s="1"/>
  <c r="V93" i="3"/>
  <c r="BJ94" i="3"/>
  <c r="V17" i="15" s="1"/>
  <c r="V95" i="3"/>
  <c r="AZ95" i="3" s="1"/>
  <c r="V96" i="3"/>
  <c r="BJ96" i="3" s="1"/>
  <c r="V97" i="3"/>
  <c r="AZ97" i="3" s="1"/>
  <c r="V98" i="3"/>
  <c r="AP98" i="3" s="1"/>
  <c r="V99" i="3"/>
  <c r="Z99" i="3" s="1"/>
  <c r="V100" i="3"/>
  <c r="V101" i="3"/>
  <c r="AZ101" i="3" s="1"/>
  <c r="R27" i="15" s="1"/>
  <c r="V102" i="3"/>
  <c r="BJ102" i="3" s="1"/>
  <c r="V28" i="15" s="1"/>
  <c r="V103" i="3"/>
  <c r="AZ103" i="3" s="1"/>
  <c r="R21" i="15" s="1"/>
  <c r="V104" i="3"/>
  <c r="BJ104" i="3" s="1"/>
  <c r="V29" i="15" s="1"/>
  <c r="V105" i="3"/>
  <c r="AF105" i="3" s="1"/>
  <c r="J18" i="15" s="1"/>
  <c r="V106" i="3"/>
  <c r="AF106" i="3" s="1"/>
  <c r="J19" i="15" s="1"/>
  <c r="V107" i="3"/>
  <c r="V108" i="3"/>
  <c r="V109" i="3"/>
  <c r="V110" i="3"/>
  <c r="BJ110" i="3" s="1"/>
  <c r="V30" i="15" s="1"/>
  <c r="V111" i="3"/>
  <c r="AZ111" i="3" s="1"/>
  <c r="R31" i="15" s="1"/>
  <c r="V112" i="3"/>
  <c r="BJ112" i="3" s="1"/>
  <c r="V113" i="3"/>
  <c r="AZ113" i="3" s="1"/>
  <c r="R33" i="15" s="1"/>
  <c r="V114" i="3"/>
  <c r="AP114" i="3" s="1"/>
  <c r="V115" i="3"/>
  <c r="AZ115" i="3" s="1"/>
  <c r="V116" i="3"/>
  <c r="V117" i="3"/>
  <c r="AZ117" i="3" s="1"/>
  <c r="V118" i="3"/>
  <c r="BJ118" i="3" s="1"/>
  <c r="V119" i="3"/>
  <c r="AZ119" i="3" s="1"/>
  <c r="V120" i="3"/>
  <c r="BJ120" i="3" s="1"/>
  <c r="V121" i="3"/>
  <c r="AZ121" i="3" s="1"/>
  <c r="V122" i="3"/>
  <c r="BJ122" i="3" s="1"/>
  <c r="V123" i="3"/>
  <c r="BJ123" i="3" s="1"/>
  <c r="V124" i="3"/>
  <c r="V125" i="3"/>
  <c r="BJ125" i="3" s="1"/>
  <c r="V82" i="15" s="1"/>
  <c r="V126" i="3"/>
  <c r="BJ126" i="3" s="1"/>
  <c r="V83" i="15" s="1"/>
  <c r="AZ127" i="3"/>
  <c r="BJ128" i="3"/>
  <c r="AZ129" i="3"/>
  <c r="BJ130" i="3"/>
  <c r="V132" i="3"/>
  <c r="AP132" i="3" s="1"/>
  <c r="N88" i="15" s="1"/>
  <c r="V133" i="3"/>
  <c r="V134" i="3"/>
  <c r="V135" i="3"/>
  <c r="AP135" i="3" s="1"/>
  <c r="N91" i="15" s="1"/>
  <c r="V136" i="3"/>
  <c r="AZ136" i="3" s="1"/>
  <c r="V137" i="3"/>
  <c r="BJ137" i="3" s="1"/>
  <c r="V139" i="3"/>
  <c r="AZ139" i="3" s="1"/>
  <c r="R92" i="15" s="1"/>
  <c r="V140" i="3"/>
  <c r="BJ140" i="3" s="1"/>
  <c r="V141" i="3"/>
  <c r="BJ141" i="3" s="1"/>
  <c r="V142" i="3"/>
  <c r="V143" i="3"/>
  <c r="BJ143" i="3" s="1"/>
  <c r="V144" i="3"/>
  <c r="BJ144" i="3" s="1"/>
  <c r="V145" i="3"/>
  <c r="V146" i="3"/>
  <c r="V148" i="3"/>
  <c r="V150" i="3"/>
  <c r="BJ150" i="3" s="1"/>
  <c r="V75" i="15" s="1"/>
  <c r="V153" i="3"/>
  <c r="Z153" i="3" s="1"/>
  <c r="BV153" i="3" s="1"/>
  <c r="V154" i="3"/>
  <c r="BJ154" i="3" s="1"/>
  <c r="V93" i="15" s="1"/>
  <c r="V9" i="3"/>
  <c r="AP9" i="3" s="1"/>
  <c r="N34" i="15" s="1"/>
  <c r="J6" i="18" s="1"/>
  <c r="K6" i="18" s="1"/>
  <c r="V8" i="3"/>
  <c r="AF8" i="3" s="1"/>
  <c r="U12" i="3"/>
  <c r="BU12" i="3" s="1"/>
  <c r="U13" i="3"/>
  <c r="BU13" i="3" s="1"/>
  <c r="U14" i="3"/>
  <c r="BU14" i="3" s="1"/>
  <c r="U15" i="3"/>
  <c r="BU15" i="3" s="1"/>
  <c r="U16" i="3"/>
  <c r="BU16" i="3" s="1"/>
  <c r="U17" i="3"/>
  <c r="BU17" i="3" s="1"/>
  <c r="U18" i="3"/>
  <c r="BU18" i="3" s="1"/>
  <c r="U19" i="3"/>
  <c r="BU19" i="3" s="1"/>
  <c r="U20" i="3"/>
  <c r="BU20" i="3" s="1"/>
  <c r="U21" i="3"/>
  <c r="BU21" i="3" s="1"/>
  <c r="U22" i="3"/>
  <c r="BU22" i="3" s="1"/>
  <c r="U23" i="3"/>
  <c r="BU23" i="3" s="1"/>
  <c r="U24" i="3"/>
  <c r="BU24" i="3" s="1"/>
  <c r="U25" i="3"/>
  <c r="BU25" i="3" s="1"/>
  <c r="U26" i="3"/>
  <c r="BU26" i="3" s="1"/>
  <c r="U27" i="3"/>
  <c r="BU27" i="3" s="1"/>
  <c r="U28" i="3"/>
  <c r="BU28" i="3" s="1"/>
  <c r="U29" i="3"/>
  <c r="BU29" i="3" s="1"/>
  <c r="U30" i="3"/>
  <c r="BU30" i="3" s="1"/>
  <c r="U31" i="3"/>
  <c r="BU31" i="3" s="1"/>
  <c r="U32" i="3"/>
  <c r="BU32" i="3" s="1"/>
  <c r="U33" i="3"/>
  <c r="BU33" i="3" s="1"/>
  <c r="U34" i="3"/>
  <c r="BU34" i="3" s="1"/>
  <c r="U35" i="3"/>
  <c r="BU35" i="3" s="1"/>
  <c r="U36" i="3"/>
  <c r="BU36" i="3" s="1"/>
  <c r="U37" i="3"/>
  <c r="BU37" i="3" s="1"/>
  <c r="U38" i="3"/>
  <c r="BU38" i="3" s="1"/>
  <c r="U39" i="3"/>
  <c r="BU39" i="3" s="1"/>
  <c r="U40" i="3"/>
  <c r="BU40" i="3" s="1"/>
  <c r="U41" i="3"/>
  <c r="U42" i="3"/>
  <c r="BU42" i="3" s="1"/>
  <c r="U43" i="3"/>
  <c r="BU43" i="3" s="1"/>
  <c r="U44" i="3"/>
  <c r="BU44" i="3" s="1"/>
  <c r="U45" i="3"/>
  <c r="BU45" i="3" s="1"/>
  <c r="U46" i="3"/>
  <c r="BU46" i="3" s="1"/>
  <c r="U47" i="3"/>
  <c r="BU47" i="3" s="1"/>
  <c r="U48" i="3"/>
  <c r="BU48" i="3" s="1"/>
  <c r="U49" i="3"/>
  <c r="BU49" i="3" s="1"/>
  <c r="U50" i="3"/>
  <c r="BU50" i="3" s="1"/>
  <c r="U51" i="3"/>
  <c r="BU51" i="3" s="1"/>
  <c r="U52" i="3"/>
  <c r="BU52" i="3" s="1"/>
  <c r="U53" i="3"/>
  <c r="BU53" i="3" s="1"/>
  <c r="U54" i="3"/>
  <c r="BU54" i="3" s="1"/>
  <c r="U55" i="3"/>
  <c r="BU55" i="3" s="1"/>
  <c r="U56" i="3"/>
  <c r="BU56" i="3" s="1"/>
  <c r="U57" i="3"/>
  <c r="BU57" i="3" s="1"/>
  <c r="U58" i="3"/>
  <c r="BU58" i="3" s="1"/>
  <c r="U59" i="3"/>
  <c r="BU59" i="3" s="1"/>
  <c r="U60" i="3"/>
  <c r="BU60" i="3" s="1"/>
  <c r="U61" i="3"/>
  <c r="BU61" i="3" s="1"/>
  <c r="U62" i="3"/>
  <c r="BU62" i="3" s="1"/>
  <c r="U63" i="3"/>
  <c r="BU63" i="3" s="1"/>
  <c r="U64" i="3"/>
  <c r="BU64" i="3" s="1"/>
  <c r="U65" i="3"/>
  <c r="BU65" i="3" s="1"/>
  <c r="U66" i="3"/>
  <c r="BU66" i="3" s="1"/>
  <c r="U67" i="3"/>
  <c r="BU67" i="3" s="1"/>
  <c r="U70" i="3"/>
  <c r="BU70" i="3" s="1"/>
  <c r="U71" i="3"/>
  <c r="BU71" i="3" s="1"/>
  <c r="U72" i="3"/>
  <c r="BU72" i="3" s="1"/>
  <c r="U73" i="3"/>
  <c r="BU73" i="3" s="1"/>
  <c r="U74" i="3"/>
  <c r="BU74" i="3" s="1"/>
  <c r="U75" i="3"/>
  <c r="BU75" i="3" s="1"/>
  <c r="U76" i="3"/>
  <c r="BU76" i="3" s="1"/>
  <c r="U77" i="3"/>
  <c r="BU77" i="3" s="1"/>
  <c r="U78" i="3"/>
  <c r="BU78" i="3" s="1"/>
  <c r="U79" i="3"/>
  <c r="BU79" i="3" s="1"/>
  <c r="U80" i="3"/>
  <c r="BU80" i="3" s="1"/>
  <c r="U81" i="3"/>
  <c r="BU81" i="3" s="1"/>
  <c r="U82" i="3"/>
  <c r="BU82" i="3" s="1"/>
  <c r="U83" i="3"/>
  <c r="BU83" i="3" s="1"/>
  <c r="U84" i="3"/>
  <c r="BU84" i="3" s="1"/>
  <c r="U85" i="3"/>
  <c r="BU85" i="3" s="1"/>
  <c r="U86" i="3"/>
  <c r="BU86" i="3" s="1"/>
  <c r="U87" i="3"/>
  <c r="BU87" i="3" s="1"/>
  <c r="U88" i="3"/>
  <c r="BU88" i="3" s="1"/>
  <c r="U90" i="3"/>
  <c r="BU90" i="3" s="1"/>
  <c r="U91" i="3"/>
  <c r="BU91" i="3" s="1"/>
  <c r="BU92" i="3"/>
  <c r="U95" i="3"/>
  <c r="BU95" i="3" s="1"/>
  <c r="U96" i="3"/>
  <c r="BU96" i="3" s="1"/>
  <c r="U97" i="3"/>
  <c r="BU97" i="3" s="1"/>
  <c r="U98" i="3"/>
  <c r="U99" i="3"/>
  <c r="U100" i="3"/>
  <c r="BU100" i="3" s="1"/>
  <c r="U101" i="3"/>
  <c r="U102" i="3"/>
  <c r="BU102" i="3" s="1"/>
  <c r="U103" i="3"/>
  <c r="BU103" i="3" s="1"/>
  <c r="U104" i="3"/>
  <c r="BU104" i="3" s="1"/>
  <c r="U105" i="3"/>
  <c r="BU105" i="3" s="1"/>
  <c r="U106" i="3"/>
  <c r="BU106" i="3" s="1"/>
  <c r="U107" i="3"/>
  <c r="BU107" i="3" s="1"/>
  <c r="U108" i="3"/>
  <c r="BU108" i="3" s="1"/>
  <c r="U109" i="3"/>
  <c r="BU109" i="3" s="1"/>
  <c r="U110" i="3"/>
  <c r="BU110" i="3" s="1"/>
  <c r="U111" i="3"/>
  <c r="U112" i="3"/>
  <c r="BU112" i="3" s="1"/>
  <c r="U113" i="3"/>
  <c r="BU113" i="3" s="1"/>
  <c r="U114" i="3"/>
  <c r="BU114" i="3" s="1"/>
  <c r="U115" i="3"/>
  <c r="BU115" i="3" s="1"/>
  <c r="U116" i="3"/>
  <c r="BU116" i="3" s="1"/>
  <c r="BU117" i="3"/>
  <c r="U118" i="3"/>
  <c r="BU118" i="3" s="1"/>
  <c r="U119" i="3"/>
  <c r="BU119" i="3" s="1"/>
  <c r="U120" i="3"/>
  <c r="BU120" i="3" s="1"/>
  <c r="U121" i="3"/>
  <c r="BU121" i="3" s="1"/>
  <c r="U122" i="3"/>
  <c r="BU122" i="3" s="1"/>
  <c r="U123" i="3"/>
  <c r="BU123" i="3" s="1"/>
  <c r="U124" i="3"/>
  <c r="BU124" i="3" s="1"/>
  <c r="U125" i="3"/>
  <c r="BU125" i="3" s="1"/>
  <c r="U126" i="3"/>
  <c r="BU126" i="3" s="1"/>
  <c r="U127" i="3"/>
  <c r="BU127" i="3" s="1"/>
  <c r="U128" i="3"/>
  <c r="BU128" i="3" s="1"/>
  <c r="U129" i="3"/>
  <c r="BU129" i="3" s="1"/>
  <c r="U130" i="3"/>
  <c r="BU130" i="3" s="1"/>
  <c r="U132" i="3"/>
  <c r="BU132" i="3" s="1"/>
  <c r="U133" i="3"/>
  <c r="BU133" i="3" s="1"/>
  <c r="U134" i="3"/>
  <c r="BU134" i="3" s="1"/>
  <c r="U135" i="3"/>
  <c r="U136" i="3"/>
  <c r="U137" i="3"/>
  <c r="U139" i="3"/>
  <c r="U140" i="3"/>
  <c r="BU140" i="3" s="1"/>
  <c r="U141" i="3"/>
  <c r="BU141" i="3" s="1"/>
  <c r="U142" i="3"/>
  <c r="BU142" i="3" s="1"/>
  <c r="U143" i="3"/>
  <c r="BU143" i="3" s="1"/>
  <c r="U144" i="3"/>
  <c r="BU144" i="3" s="1"/>
  <c r="U145" i="3"/>
  <c r="BU145" i="3" s="1"/>
  <c r="U146" i="3"/>
  <c r="BU146" i="3" s="1"/>
  <c r="U150" i="3"/>
  <c r="BU150" i="3" s="1"/>
  <c r="U153" i="3"/>
  <c r="BU153" i="3" s="1"/>
  <c r="U154" i="3"/>
  <c r="BU154" i="3" s="1"/>
  <c r="U9" i="3"/>
  <c r="BU9" i="3" s="1"/>
  <c r="U8" i="3"/>
  <c r="BU8" i="3" s="1"/>
  <c r="C6" i="18" l="1"/>
  <c r="D6" i="18" s="1"/>
  <c r="J210" i="15"/>
  <c r="J14" i="18"/>
  <c r="R161" i="15"/>
  <c r="J161" i="15"/>
  <c r="N161" i="15"/>
  <c r="V161" i="15"/>
  <c r="I198" i="15"/>
  <c r="I215" i="15"/>
  <c r="I216" i="15" s="1"/>
  <c r="C9" i="17" s="1"/>
  <c r="D9" i="17" s="1"/>
  <c r="BJ44" i="3"/>
  <c r="V62" i="15" s="1"/>
  <c r="Z44" i="3"/>
  <c r="I171" i="15"/>
  <c r="J198" i="15"/>
  <c r="I195" i="15"/>
  <c r="J215" i="15"/>
  <c r="J216" i="15" s="1"/>
  <c r="I140" i="15"/>
  <c r="I117" i="15"/>
  <c r="J149" i="15"/>
  <c r="J171" i="15"/>
  <c r="I210" i="15"/>
  <c r="I161" i="15"/>
  <c r="C8" i="18"/>
  <c r="D8" i="18" s="1"/>
  <c r="L94" i="15"/>
  <c r="M94" i="15"/>
  <c r="H9" i="18" s="1"/>
  <c r="I9" i="18" s="1"/>
  <c r="T94" i="15"/>
  <c r="Q94" i="15"/>
  <c r="M9" i="18" s="1"/>
  <c r="N9" i="18" s="1"/>
  <c r="U94" i="15"/>
  <c r="R9" i="18" s="1"/>
  <c r="S9" i="18" s="1"/>
  <c r="P94" i="15"/>
  <c r="BU41" i="3"/>
  <c r="AI41" i="3"/>
  <c r="Y41" i="3"/>
  <c r="BC41" i="3"/>
  <c r="AS41" i="3"/>
  <c r="BU101" i="3"/>
  <c r="AS101" i="3"/>
  <c r="Y101" i="3"/>
  <c r="BC101" i="3"/>
  <c r="AI101" i="3"/>
  <c r="Y99" i="3"/>
  <c r="AS99" i="3"/>
  <c r="AI99" i="3"/>
  <c r="BU99" i="3"/>
  <c r="BC99" i="3"/>
  <c r="BU98" i="3"/>
  <c r="AS98" i="3"/>
  <c r="AI98" i="3"/>
  <c r="Y98" i="3"/>
  <c r="BC98" i="3"/>
  <c r="BU139" i="3"/>
  <c r="Y139" i="3"/>
  <c r="BU137" i="3"/>
  <c r="Y137" i="3"/>
  <c r="BU136" i="3"/>
  <c r="Y136" i="3"/>
  <c r="BU135" i="3"/>
  <c r="Y135" i="3"/>
  <c r="M149" i="15"/>
  <c r="J140" i="15"/>
  <c r="AF81" i="3"/>
  <c r="J66" i="15" s="1"/>
  <c r="AP73" i="3"/>
  <c r="Z73" i="3"/>
  <c r="V101" i="15"/>
  <c r="BJ109" i="3"/>
  <c r="V23" i="15" s="1"/>
  <c r="Z109" i="3"/>
  <c r="AA109" i="3" s="1"/>
  <c r="H23" i="15" s="1"/>
  <c r="AZ80" i="3"/>
  <c r="R65" i="15" s="1"/>
  <c r="AT80" i="3"/>
  <c r="AJ80" i="3"/>
  <c r="AT83" i="3"/>
  <c r="AX83" i="3" s="1"/>
  <c r="P72" i="15" s="1"/>
  <c r="Z83" i="3"/>
  <c r="AA83" i="3" s="1"/>
  <c r="AC83" i="3" s="1"/>
  <c r="Z108" i="3"/>
  <c r="AT108" i="3"/>
  <c r="AX108" i="3" s="1"/>
  <c r="AP145" i="3"/>
  <c r="N20" i="15" s="1"/>
  <c r="AA145" i="3"/>
  <c r="AZ105" i="3"/>
  <c r="R18" i="15" s="1"/>
  <c r="BJ107" i="3"/>
  <c r="V32" i="15" s="1"/>
  <c r="AF107" i="3"/>
  <c r="J32" i="15" s="1"/>
  <c r="BJ146" i="3"/>
  <c r="AP146" i="3"/>
  <c r="U149" i="15"/>
  <c r="BJ52" i="3"/>
  <c r="V97" i="15" s="1"/>
  <c r="AZ52" i="3"/>
  <c r="R97" i="15" s="1"/>
  <c r="AP52" i="3"/>
  <c r="N97" i="15" s="1"/>
  <c r="AF52" i="3"/>
  <c r="J97" i="15" s="1"/>
  <c r="Q149" i="15"/>
  <c r="BJ93" i="3"/>
  <c r="V16" i="15" s="1"/>
  <c r="AA93" i="3"/>
  <c r="H16" i="15" s="1"/>
  <c r="BL92" i="3"/>
  <c r="AC92" i="3"/>
  <c r="BI92" i="3"/>
  <c r="AE92" i="3"/>
  <c r="AY92" i="3"/>
  <c r="AO92" i="3"/>
  <c r="BU94" i="3"/>
  <c r="Y94" i="3"/>
  <c r="BU93" i="3"/>
  <c r="Y93" i="3"/>
  <c r="T14" i="18"/>
  <c r="U14" i="18" s="1"/>
  <c r="H14" i="18"/>
  <c r="I14" i="18" s="1"/>
  <c r="E14" i="18"/>
  <c r="F14" i="18" s="1"/>
  <c r="M14" i="18"/>
  <c r="N14" i="18" s="1"/>
  <c r="R14" i="18"/>
  <c r="S14" i="18" s="1"/>
  <c r="O14" i="18"/>
  <c r="P14" i="18" s="1"/>
  <c r="K14" i="18"/>
  <c r="C14" i="18"/>
  <c r="D14" i="18" s="1"/>
  <c r="AS111" i="3"/>
  <c r="AI111" i="3"/>
  <c r="BC111" i="3"/>
  <c r="BU111" i="3"/>
  <c r="Y111" i="3"/>
  <c r="AD99" i="3"/>
  <c r="H25" i="15" s="1"/>
  <c r="BV99" i="3"/>
  <c r="H7" i="18"/>
  <c r="I7" i="18" s="1"/>
  <c r="R8" i="18"/>
  <c r="S8" i="18" s="1"/>
  <c r="R12" i="18"/>
  <c r="S12" i="18" s="1"/>
  <c r="M6" i="18"/>
  <c r="N6" i="18" s="1"/>
  <c r="M7" i="18"/>
  <c r="N7" i="18" s="1"/>
  <c r="M8" i="18"/>
  <c r="N8" i="18" s="1"/>
  <c r="R6" i="18"/>
  <c r="S6" i="18" s="1"/>
  <c r="R7" i="18"/>
  <c r="S7" i="18" s="1"/>
  <c r="M12" i="18"/>
  <c r="N12" i="18" s="1"/>
  <c r="H6" i="18"/>
  <c r="I6" i="18" s="1"/>
  <c r="C12" i="18"/>
  <c r="D12" i="18" s="1"/>
  <c r="H8" i="18"/>
  <c r="I8" i="18" s="1"/>
  <c r="H12" i="18"/>
  <c r="I12" i="18" s="1"/>
  <c r="V24" i="15"/>
  <c r="Q24" i="15"/>
  <c r="M24" i="15"/>
  <c r="U24" i="15"/>
  <c r="U103" i="15"/>
  <c r="M64" i="15"/>
  <c r="Q103" i="15"/>
  <c r="M103" i="15"/>
  <c r="Q64" i="15"/>
  <c r="U64" i="15"/>
  <c r="V198" i="15"/>
  <c r="U198" i="15"/>
  <c r="M210" i="15"/>
  <c r="U171" i="15"/>
  <c r="M215" i="15"/>
  <c r="M216" i="15" s="1"/>
  <c r="H9" i="17" s="1"/>
  <c r="I9" i="17" s="1"/>
  <c r="M202" i="15"/>
  <c r="Q215" i="15"/>
  <c r="Q216" i="15" s="1"/>
  <c r="M9" i="17" s="1"/>
  <c r="N9" i="17" s="1"/>
  <c r="Q198" i="15"/>
  <c r="N215" i="15"/>
  <c r="N216" i="15" s="1"/>
  <c r="J9" i="17" s="1"/>
  <c r="V215" i="15"/>
  <c r="V216" i="15" s="1"/>
  <c r="T9" i="17" s="1"/>
  <c r="U9" i="17" s="1"/>
  <c r="U215" i="15"/>
  <c r="U216" i="15" s="1"/>
  <c r="R9" i="17" s="1"/>
  <c r="S9" i="17" s="1"/>
  <c r="E9" i="17"/>
  <c r="F9" i="17" s="1"/>
  <c r="R215" i="15"/>
  <c r="R216" i="15" s="1"/>
  <c r="O9" i="17" s="1"/>
  <c r="P9" i="17" s="1"/>
  <c r="R171" i="15"/>
  <c r="Q171" i="15"/>
  <c r="Q202" i="15"/>
  <c r="R210" i="15"/>
  <c r="V210" i="15"/>
  <c r="Q210" i="15"/>
  <c r="U210" i="15"/>
  <c r="N210" i="15"/>
  <c r="M198" i="15"/>
  <c r="U202" i="15"/>
  <c r="R198" i="15"/>
  <c r="N198" i="15"/>
  <c r="N195" i="15"/>
  <c r="J195" i="15"/>
  <c r="M195" i="15"/>
  <c r="V195" i="15"/>
  <c r="Q195" i="15"/>
  <c r="R195" i="15"/>
  <c r="U195" i="15"/>
  <c r="N171" i="15"/>
  <c r="V171" i="15"/>
  <c r="M171" i="15"/>
  <c r="N149" i="15"/>
  <c r="R149" i="15"/>
  <c r="V149" i="15"/>
  <c r="M117" i="15"/>
  <c r="V140" i="15"/>
  <c r="M140" i="15"/>
  <c r="U117" i="15"/>
  <c r="R140" i="15"/>
  <c r="R117" i="15"/>
  <c r="Q140" i="15"/>
  <c r="Q117" i="15"/>
  <c r="N140" i="15"/>
  <c r="U140" i="15"/>
  <c r="V117" i="15"/>
  <c r="AZ33" i="3"/>
  <c r="R55" i="15" s="1"/>
  <c r="BJ33" i="3"/>
  <c r="V55" i="15" s="1"/>
  <c r="AP33" i="3"/>
  <c r="N55" i="15" s="1"/>
  <c r="AF114" i="3"/>
  <c r="AP78" i="3"/>
  <c r="AJ83" i="3"/>
  <c r="AN83" i="3" s="1"/>
  <c r="L72" i="15" s="1"/>
  <c r="BD109" i="3"/>
  <c r="BS109" i="3" s="1"/>
  <c r="U23" i="15" s="1"/>
  <c r="BM153" i="3"/>
  <c r="I78" i="15" s="1"/>
  <c r="AD153" i="3"/>
  <c r="H78" i="15" s="1"/>
  <c r="Z93" i="3"/>
  <c r="BV93" i="3" s="1"/>
  <c r="BV111" i="3"/>
  <c r="J101" i="15"/>
  <c r="AF48" i="3"/>
  <c r="J96" i="15" s="1"/>
  <c r="AP56" i="3"/>
  <c r="Z125" i="3"/>
  <c r="BV125" i="3" s="1"/>
  <c r="AP36" i="3"/>
  <c r="N58" i="15" s="1"/>
  <c r="Z126" i="3"/>
  <c r="BV126" i="3" s="1"/>
  <c r="AP102" i="3"/>
  <c r="N28" i="15" s="1"/>
  <c r="AP13" i="3"/>
  <c r="Z132" i="3"/>
  <c r="Z150" i="3"/>
  <c r="BV150" i="3" s="1"/>
  <c r="BD83" i="3"/>
  <c r="BH83" i="3" s="1"/>
  <c r="T72" i="15" s="1"/>
  <c r="AJ109" i="3"/>
  <c r="AF135" i="3"/>
  <c r="J91" i="15" s="1"/>
  <c r="AP122" i="3"/>
  <c r="AT109" i="3"/>
  <c r="Z154" i="3"/>
  <c r="BV154" i="3" s="1"/>
  <c r="AZ141" i="3"/>
  <c r="BJ8" i="3"/>
  <c r="AF141" i="3"/>
  <c r="AF118" i="3"/>
  <c r="AF98" i="3"/>
  <c r="AF74" i="3"/>
  <c r="J54" i="15"/>
  <c r="AP127" i="3"/>
  <c r="AP106" i="3"/>
  <c r="N19" i="15" s="1"/>
  <c r="AP85" i="3"/>
  <c r="N68" i="15" s="1"/>
  <c r="AP61" i="3"/>
  <c r="AP40" i="3"/>
  <c r="N60" i="15" s="1"/>
  <c r="AP20" i="3"/>
  <c r="N42" i="15" s="1"/>
  <c r="AF150" i="3"/>
  <c r="J75" i="15" s="1"/>
  <c r="E13" i="18" s="1"/>
  <c r="F13" i="18" s="1"/>
  <c r="AZ91" i="3"/>
  <c r="AF9" i="3"/>
  <c r="J34" i="15" s="1"/>
  <c r="E6" i="18" s="1"/>
  <c r="F6" i="18" s="1"/>
  <c r="AF140" i="3"/>
  <c r="AF115" i="3"/>
  <c r="AF94" i="3"/>
  <c r="J17" i="15" s="1"/>
  <c r="AF73" i="3"/>
  <c r="AF49" i="3"/>
  <c r="AF28" i="3"/>
  <c r="J50" i="15" s="1"/>
  <c r="AP126" i="3"/>
  <c r="N83" i="15" s="1"/>
  <c r="AP103" i="3"/>
  <c r="N21" i="15" s="1"/>
  <c r="AP81" i="3"/>
  <c r="N66" i="15" s="1"/>
  <c r="AP60" i="3"/>
  <c r="AP37" i="3"/>
  <c r="N59" i="15" s="1"/>
  <c r="AP16" i="3"/>
  <c r="N38" i="15" s="1"/>
  <c r="AF145" i="3"/>
  <c r="J20" i="15" s="1"/>
  <c r="AZ74" i="3"/>
  <c r="BJ49" i="3"/>
  <c r="AZ57" i="3"/>
  <c r="AF132" i="3"/>
  <c r="J88" i="15" s="1"/>
  <c r="AF110" i="3"/>
  <c r="J30" i="15" s="1"/>
  <c r="AF90" i="3"/>
  <c r="AF65" i="3"/>
  <c r="AF44" i="3"/>
  <c r="J62" i="15" s="1"/>
  <c r="AF24" i="3"/>
  <c r="J46" i="15" s="1"/>
  <c r="AP119" i="3"/>
  <c r="AP77" i="3"/>
  <c r="AP53" i="3"/>
  <c r="N98" i="15" s="1"/>
  <c r="AP12" i="3"/>
  <c r="AZ135" i="3"/>
  <c r="R91" i="15" s="1"/>
  <c r="AZ41" i="3"/>
  <c r="R61" i="15" s="1"/>
  <c r="BJ82" i="3"/>
  <c r="V67" i="15" s="1"/>
  <c r="AF91" i="3"/>
  <c r="AP8" i="3"/>
  <c r="AF85" i="3"/>
  <c r="J68" i="15" s="1"/>
  <c r="AF64" i="3"/>
  <c r="AF41" i="3"/>
  <c r="J61" i="15" s="1"/>
  <c r="AF20" i="3"/>
  <c r="J42" i="15" s="1"/>
  <c r="AP140" i="3"/>
  <c r="AP118" i="3"/>
  <c r="AP95" i="3"/>
  <c r="AP29" i="3"/>
  <c r="N51" i="15" s="1"/>
  <c r="AZ25" i="3"/>
  <c r="R47" i="15" s="1"/>
  <c r="BJ99" i="3"/>
  <c r="V25" i="15" s="1"/>
  <c r="BJ65" i="3"/>
  <c r="BJ9" i="3"/>
  <c r="V34" i="15" s="1"/>
  <c r="T6" i="18" s="1"/>
  <c r="U6" i="18" s="1"/>
  <c r="AF126" i="3"/>
  <c r="J83" i="15" s="1"/>
  <c r="AF82" i="3"/>
  <c r="J67" i="15" s="1"/>
  <c r="AF60" i="3"/>
  <c r="AF17" i="3"/>
  <c r="J39" i="15" s="1"/>
  <c r="AP136" i="3"/>
  <c r="AP94" i="3"/>
  <c r="N17" i="15" s="1"/>
  <c r="AP70" i="3"/>
  <c r="AP28" i="3"/>
  <c r="N50" i="15" s="1"/>
  <c r="AZ126" i="3"/>
  <c r="R83" i="15" s="1"/>
  <c r="BJ115" i="3"/>
  <c r="AF123" i="3"/>
  <c r="AF102" i="3"/>
  <c r="J28" i="15" s="1"/>
  <c r="AF57" i="3"/>
  <c r="AF36" i="3"/>
  <c r="J58" i="15" s="1"/>
  <c r="AP111" i="3"/>
  <c r="N31" i="15" s="1"/>
  <c r="AP45" i="3"/>
  <c r="AF144" i="3"/>
  <c r="AZ122" i="3"/>
  <c r="BJ132" i="3"/>
  <c r="V88" i="15" s="1"/>
  <c r="AF25" i="3"/>
  <c r="J47" i="15" s="1"/>
  <c r="AF122" i="3"/>
  <c r="AF99" i="3"/>
  <c r="J25" i="15" s="1"/>
  <c r="AF77" i="3"/>
  <c r="AF33" i="3"/>
  <c r="J55" i="15" s="1"/>
  <c r="AF14" i="3"/>
  <c r="AP130" i="3"/>
  <c r="AP110" i="3"/>
  <c r="N30" i="15" s="1"/>
  <c r="AP86" i="3"/>
  <c r="N69" i="15" s="1"/>
  <c r="AP44" i="3"/>
  <c r="N62" i="15" s="1"/>
  <c r="AP21" i="3"/>
  <c r="N43" i="15" s="1"/>
  <c r="AZ107" i="3"/>
  <c r="R32" i="15" s="1"/>
  <c r="BJ17" i="3"/>
  <c r="V39" i="15" s="1"/>
  <c r="AZ148" i="3"/>
  <c r="BJ148" i="3"/>
  <c r="BJ116" i="3"/>
  <c r="AZ116" i="3"/>
  <c r="BJ100" i="3"/>
  <c r="AZ100" i="3"/>
  <c r="BJ83" i="3"/>
  <c r="V72" i="15" s="1"/>
  <c r="AZ83" i="3"/>
  <c r="R72" i="15" s="1"/>
  <c r="BJ66" i="3"/>
  <c r="AZ66" i="3"/>
  <c r="BJ50" i="3"/>
  <c r="AZ50" i="3"/>
  <c r="BJ34" i="3"/>
  <c r="V56" i="15" s="1"/>
  <c r="AZ34" i="3"/>
  <c r="R56" i="15" s="1"/>
  <c r="AZ112" i="3"/>
  <c r="AZ79" i="3"/>
  <c r="AZ46" i="3"/>
  <c r="AZ146" i="3"/>
  <c r="BJ39" i="3"/>
  <c r="BJ55" i="3"/>
  <c r="BJ72" i="3"/>
  <c r="BJ88" i="3"/>
  <c r="V71" i="15" s="1"/>
  <c r="BJ105" i="3"/>
  <c r="V18" i="15" s="1"/>
  <c r="BJ121" i="3"/>
  <c r="AZ153" i="3"/>
  <c r="R78" i="15" s="1"/>
  <c r="BJ153" i="3"/>
  <c r="V78" i="15" s="1"/>
  <c r="AF143" i="3"/>
  <c r="AF125" i="3"/>
  <c r="J82" i="15" s="1"/>
  <c r="AF117" i="3"/>
  <c r="AF109" i="3"/>
  <c r="J23" i="15" s="1"/>
  <c r="AF101" i="3"/>
  <c r="J27" i="15" s="1"/>
  <c r="AF93" i="3"/>
  <c r="J16" i="15" s="1"/>
  <c r="AF84" i="3"/>
  <c r="J73" i="15" s="1"/>
  <c r="AF76" i="3"/>
  <c r="AF67" i="3"/>
  <c r="AF59" i="3"/>
  <c r="AF51" i="3"/>
  <c r="AF43" i="3"/>
  <c r="AF35" i="3"/>
  <c r="J57" i="15" s="1"/>
  <c r="AF27" i="3"/>
  <c r="J49" i="15" s="1"/>
  <c r="AF19" i="3"/>
  <c r="J41" i="15" s="1"/>
  <c r="AP139" i="3"/>
  <c r="N92" i="15" s="1"/>
  <c r="AP129" i="3"/>
  <c r="AP121" i="3"/>
  <c r="AP113" i="3"/>
  <c r="N33" i="15" s="1"/>
  <c r="AP105" i="3"/>
  <c r="N18" i="15" s="1"/>
  <c r="AP97" i="3"/>
  <c r="AP88" i="3"/>
  <c r="N71" i="15" s="1"/>
  <c r="AP80" i="3"/>
  <c r="N65" i="15" s="1"/>
  <c r="AP72" i="3"/>
  <c r="AP63" i="3"/>
  <c r="N99" i="15" s="1"/>
  <c r="N103" i="15" s="1"/>
  <c r="AP55" i="3"/>
  <c r="AP47" i="3"/>
  <c r="AP39" i="3"/>
  <c r="AP31" i="3"/>
  <c r="N53" i="15" s="1"/>
  <c r="AP23" i="3"/>
  <c r="N45" i="15" s="1"/>
  <c r="AP15" i="3"/>
  <c r="N37" i="15" s="1"/>
  <c r="AF148" i="3"/>
  <c r="AZ140" i="3"/>
  <c r="AZ125" i="3"/>
  <c r="R82" i="15" s="1"/>
  <c r="AZ110" i="3"/>
  <c r="R30" i="15" s="1"/>
  <c r="AZ94" i="3"/>
  <c r="R17" i="15" s="1"/>
  <c r="AZ77" i="3"/>
  <c r="AZ60" i="3"/>
  <c r="AZ44" i="3"/>
  <c r="R62" i="15" s="1"/>
  <c r="AZ28" i="3"/>
  <c r="R50" i="15" s="1"/>
  <c r="AZ12" i="3"/>
  <c r="AZ144" i="3"/>
  <c r="BJ21" i="3"/>
  <c r="V43" i="15" s="1"/>
  <c r="BJ37" i="3"/>
  <c r="V59" i="15" s="1"/>
  <c r="BJ53" i="3"/>
  <c r="V98" i="15" s="1"/>
  <c r="BJ70" i="3"/>
  <c r="BJ86" i="3"/>
  <c r="V69" i="15" s="1"/>
  <c r="BJ103" i="3"/>
  <c r="V21" i="15" s="1"/>
  <c r="BJ119" i="3"/>
  <c r="BJ136" i="3"/>
  <c r="BJ142" i="3"/>
  <c r="V35" i="15" s="1"/>
  <c r="AZ142" i="3"/>
  <c r="R35" i="15" s="1"/>
  <c r="O12" i="18" s="1"/>
  <c r="P12" i="18" s="1"/>
  <c r="BJ124" i="3"/>
  <c r="AZ124" i="3"/>
  <c r="BJ108" i="3"/>
  <c r="V22" i="15" s="1"/>
  <c r="AZ108" i="3"/>
  <c r="R22" i="15" s="1"/>
  <c r="BJ92" i="3"/>
  <c r="V15" i="15" s="1"/>
  <c r="AZ92" i="3"/>
  <c r="R15" i="15" s="1"/>
  <c r="BJ75" i="3"/>
  <c r="AZ75" i="3"/>
  <c r="BJ58" i="3"/>
  <c r="AZ58" i="3"/>
  <c r="BJ42" i="3"/>
  <c r="V63" i="15" s="1"/>
  <c r="AZ42" i="3"/>
  <c r="R63" i="15" s="1"/>
  <c r="BJ26" i="3"/>
  <c r="V48" i="15" s="1"/>
  <c r="AZ26" i="3"/>
  <c r="R48" i="15" s="1"/>
  <c r="BJ18" i="3"/>
  <c r="V40" i="15" s="1"/>
  <c r="AZ18" i="3"/>
  <c r="R40" i="15" s="1"/>
  <c r="AZ96" i="3"/>
  <c r="AZ62" i="3"/>
  <c r="AZ30" i="3"/>
  <c r="R52" i="15" s="1"/>
  <c r="AZ14" i="3"/>
  <c r="BJ23" i="3"/>
  <c r="V45" i="15" s="1"/>
  <c r="BJ114" i="3"/>
  <c r="AZ114" i="3"/>
  <c r="BJ106" i="3"/>
  <c r="V19" i="15" s="1"/>
  <c r="AZ106" i="3"/>
  <c r="R19" i="15" s="1"/>
  <c r="BJ98" i="3"/>
  <c r="AZ98" i="3"/>
  <c r="BJ90" i="3"/>
  <c r="AZ90" i="3"/>
  <c r="BJ81" i="3"/>
  <c r="V66" i="15" s="1"/>
  <c r="AZ81" i="3"/>
  <c r="R66" i="15" s="1"/>
  <c r="BJ73" i="3"/>
  <c r="AZ73" i="3"/>
  <c r="BJ64" i="3"/>
  <c r="AZ64" i="3"/>
  <c r="BJ56" i="3"/>
  <c r="AZ56" i="3"/>
  <c r="BJ48" i="3"/>
  <c r="V96" i="15" s="1"/>
  <c r="AZ48" i="3"/>
  <c r="R96" i="15" s="1"/>
  <c r="BJ40" i="3"/>
  <c r="V60" i="15" s="1"/>
  <c r="AZ40" i="3"/>
  <c r="R60" i="15" s="1"/>
  <c r="BJ32" i="3"/>
  <c r="V54" i="15" s="1"/>
  <c r="AZ32" i="3"/>
  <c r="R54" i="15" s="1"/>
  <c r="BJ24" i="3"/>
  <c r="V46" i="15" s="1"/>
  <c r="AZ24" i="3"/>
  <c r="R46" i="15" s="1"/>
  <c r="BJ16" i="3"/>
  <c r="V38" i="15" s="1"/>
  <c r="AZ16" i="3"/>
  <c r="AF142" i="3"/>
  <c r="J35" i="15" s="1"/>
  <c r="E12" i="18" s="1"/>
  <c r="F12" i="18" s="1"/>
  <c r="AF124" i="3"/>
  <c r="AF116" i="3"/>
  <c r="AF108" i="3"/>
  <c r="J22" i="15" s="1"/>
  <c r="AF100" i="3"/>
  <c r="AF92" i="3"/>
  <c r="J15" i="15" s="1"/>
  <c r="AF83" i="3"/>
  <c r="J72" i="15" s="1"/>
  <c r="AF75" i="3"/>
  <c r="AF66" i="3"/>
  <c r="AF58" i="3"/>
  <c r="AF50" i="3"/>
  <c r="AF42" i="3"/>
  <c r="J63" i="15" s="1"/>
  <c r="AF34" i="3"/>
  <c r="J56" i="15" s="1"/>
  <c r="AF26" i="3"/>
  <c r="J48" i="15" s="1"/>
  <c r="AF18" i="3"/>
  <c r="J40" i="15" s="1"/>
  <c r="AP137" i="3"/>
  <c r="AP128" i="3"/>
  <c r="AP120" i="3"/>
  <c r="AP112" i="3"/>
  <c r="AP104" i="3"/>
  <c r="N29" i="15" s="1"/>
  <c r="AP96" i="3"/>
  <c r="AP87" i="3"/>
  <c r="N70" i="15" s="1"/>
  <c r="AP79" i="3"/>
  <c r="AP71" i="3"/>
  <c r="AP62" i="3"/>
  <c r="AP46" i="3"/>
  <c r="AP38" i="3"/>
  <c r="AP30" i="3"/>
  <c r="N52" i="15" s="1"/>
  <c r="AP22" i="3"/>
  <c r="N44" i="15" s="1"/>
  <c r="AP14" i="3"/>
  <c r="AF154" i="3"/>
  <c r="J93" i="15" s="1"/>
  <c r="AP148" i="3"/>
  <c r="AP154" i="3"/>
  <c r="N93" i="15" s="1"/>
  <c r="AZ137" i="3"/>
  <c r="AZ123" i="3"/>
  <c r="AZ109" i="3"/>
  <c r="R23" i="15" s="1"/>
  <c r="AZ93" i="3"/>
  <c r="R16" i="15" s="1"/>
  <c r="AZ76" i="3"/>
  <c r="AZ59" i="3"/>
  <c r="AZ43" i="3"/>
  <c r="AZ27" i="3"/>
  <c r="R49" i="15" s="1"/>
  <c r="AZ9" i="3"/>
  <c r="R34" i="15" s="1"/>
  <c r="O6" i="18" s="1"/>
  <c r="P6" i="18" s="1"/>
  <c r="BJ19" i="3"/>
  <c r="V41" i="15" s="1"/>
  <c r="BJ35" i="3"/>
  <c r="V57" i="15" s="1"/>
  <c r="BJ51" i="3"/>
  <c r="BJ67" i="3"/>
  <c r="BJ84" i="3"/>
  <c r="V73" i="15" s="1"/>
  <c r="BJ101" i="3"/>
  <c r="V27" i="15" s="1"/>
  <c r="BJ117" i="3"/>
  <c r="AZ120" i="3"/>
  <c r="AZ104" i="3"/>
  <c r="R29" i="15" s="1"/>
  <c r="AZ87" i="3"/>
  <c r="R70" i="15" s="1"/>
  <c r="AZ71" i="3"/>
  <c r="AZ38" i="3"/>
  <c r="AZ22" i="3"/>
  <c r="R44" i="15" s="1"/>
  <c r="BJ15" i="3"/>
  <c r="V37" i="15" s="1"/>
  <c r="BJ31" i="3"/>
  <c r="V53" i="15" s="1"/>
  <c r="BJ47" i="3"/>
  <c r="BJ63" i="3"/>
  <c r="V99" i="15" s="1"/>
  <c r="BJ80" i="3"/>
  <c r="V65" i="15" s="1"/>
  <c r="V74" i="15" s="1"/>
  <c r="BJ97" i="3"/>
  <c r="BJ113" i="3"/>
  <c r="V33" i="15" s="1"/>
  <c r="BJ129" i="3"/>
  <c r="AZ145" i="3"/>
  <c r="R20" i="15" s="1"/>
  <c r="BJ145" i="3"/>
  <c r="V20" i="15" s="1"/>
  <c r="AZ8" i="3"/>
  <c r="AF139" i="3"/>
  <c r="J92" i="15" s="1"/>
  <c r="AF121" i="3"/>
  <c r="AF113" i="3"/>
  <c r="J33" i="15" s="1"/>
  <c r="AF97" i="3"/>
  <c r="AF88" i="3"/>
  <c r="J71" i="15" s="1"/>
  <c r="AF80" i="3"/>
  <c r="J65" i="15" s="1"/>
  <c r="AF72" i="3"/>
  <c r="AF63" i="3"/>
  <c r="J99" i="15" s="1"/>
  <c r="AF55" i="3"/>
  <c r="AF47" i="3"/>
  <c r="AF39" i="3"/>
  <c r="AF31" i="3"/>
  <c r="J53" i="15" s="1"/>
  <c r="AF23" i="3"/>
  <c r="J45" i="15" s="1"/>
  <c r="AF15" i="3"/>
  <c r="J37" i="15" s="1"/>
  <c r="AP143" i="3"/>
  <c r="AP125" i="3"/>
  <c r="N82" i="15" s="1"/>
  <c r="AP117" i="3"/>
  <c r="AP109" i="3"/>
  <c r="N23" i="15" s="1"/>
  <c r="AP101" i="3"/>
  <c r="N27" i="15" s="1"/>
  <c r="AP93" i="3"/>
  <c r="N16" i="15" s="1"/>
  <c r="AP84" i="3"/>
  <c r="N73" i="15" s="1"/>
  <c r="AP76" i="3"/>
  <c r="AP67" i="3"/>
  <c r="AP59" i="3"/>
  <c r="AP51" i="3"/>
  <c r="AP43" i="3"/>
  <c r="AP35" i="3"/>
  <c r="N57" i="15" s="1"/>
  <c r="AP27" i="3"/>
  <c r="N49" i="15" s="1"/>
  <c r="AP19" i="3"/>
  <c r="N41" i="15" s="1"/>
  <c r="AP153" i="3"/>
  <c r="N78" i="15" s="1"/>
  <c r="AZ132" i="3"/>
  <c r="R88" i="15" s="1"/>
  <c r="AZ118" i="3"/>
  <c r="AZ102" i="3"/>
  <c r="R28" i="15" s="1"/>
  <c r="AZ85" i="3"/>
  <c r="R68" i="15" s="1"/>
  <c r="R101" i="15"/>
  <c r="AZ36" i="3"/>
  <c r="R58" i="15" s="1"/>
  <c r="AZ20" i="3"/>
  <c r="R42" i="15" s="1"/>
  <c r="BJ13" i="3"/>
  <c r="BJ29" i="3"/>
  <c r="V51" i="15" s="1"/>
  <c r="BJ45" i="3"/>
  <c r="BJ61" i="3"/>
  <c r="BJ78" i="3"/>
  <c r="BJ95" i="3"/>
  <c r="BJ111" i="3"/>
  <c r="V31" i="15" s="1"/>
  <c r="BJ127" i="3"/>
  <c r="Z135" i="3"/>
  <c r="BV135" i="3" s="1"/>
  <c r="BJ135" i="3"/>
  <c r="V91" i="15" s="1"/>
  <c r="AF137" i="3"/>
  <c r="AF120" i="3"/>
  <c r="AF112" i="3"/>
  <c r="AF104" i="3"/>
  <c r="J29" i="15" s="1"/>
  <c r="AF96" i="3"/>
  <c r="AF87" i="3"/>
  <c r="J70" i="15" s="1"/>
  <c r="AF79" i="3"/>
  <c r="AF71" i="3"/>
  <c r="AF62" i="3"/>
  <c r="AF46" i="3"/>
  <c r="AF38" i="3"/>
  <c r="AF30" i="3"/>
  <c r="J52" i="15" s="1"/>
  <c r="AF22" i="3"/>
  <c r="J44" i="15" s="1"/>
  <c r="AF13" i="3"/>
  <c r="AP142" i="3"/>
  <c r="N35" i="15" s="1"/>
  <c r="J12" i="18" s="1"/>
  <c r="K12" i="18" s="1"/>
  <c r="AP124" i="3"/>
  <c r="AP116" i="3"/>
  <c r="AP108" i="3"/>
  <c r="N22" i="15" s="1"/>
  <c r="AP100" i="3"/>
  <c r="AP92" i="3"/>
  <c r="N15" i="15" s="1"/>
  <c r="AP83" i="3"/>
  <c r="N72" i="15" s="1"/>
  <c r="AP75" i="3"/>
  <c r="AP66" i="3"/>
  <c r="AP58" i="3"/>
  <c r="AP50" i="3"/>
  <c r="AP42" i="3"/>
  <c r="N63" i="15" s="1"/>
  <c r="AP34" i="3"/>
  <c r="N56" i="15" s="1"/>
  <c r="AP26" i="3"/>
  <c r="N48" i="15" s="1"/>
  <c r="AP18" i="3"/>
  <c r="N40" i="15" s="1"/>
  <c r="AP144" i="3"/>
  <c r="AP150" i="3"/>
  <c r="N75" i="15" s="1"/>
  <c r="AZ130" i="3"/>
  <c r="AZ154" i="3"/>
  <c r="R93" i="15" s="1"/>
  <c r="AF136" i="3"/>
  <c r="AF119" i="3"/>
  <c r="AF111" i="3"/>
  <c r="J31" i="15" s="1"/>
  <c r="AF103" i="3"/>
  <c r="J21" i="15" s="1"/>
  <c r="AF95" i="3"/>
  <c r="AF86" i="3"/>
  <c r="J69" i="15" s="1"/>
  <c r="AF78" i="3"/>
  <c r="AF70" i="3"/>
  <c r="AF61" i="3"/>
  <c r="AF53" i="3"/>
  <c r="J98" i="15" s="1"/>
  <c r="AF45" i="3"/>
  <c r="AF37" i="3"/>
  <c r="J59" i="15" s="1"/>
  <c r="AF29" i="3"/>
  <c r="J51" i="15" s="1"/>
  <c r="AF21" i="3"/>
  <c r="J43" i="15" s="1"/>
  <c r="AF12" i="3"/>
  <c r="AP141" i="3"/>
  <c r="AP123" i="3"/>
  <c r="AP115" i="3"/>
  <c r="AP107" i="3"/>
  <c r="N32" i="15" s="1"/>
  <c r="AP99" i="3"/>
  <c r="N25" i="15" s="1"/>
  <c r="AP91" i="3"/>
  <c r="AP82" i="3"/>
  <c r="N67" i="15" s="1"/>
  <c r="AP74" i="3"/>
  <c r="AP65" i="3"/>
  <c r="AP57" i="3"/>
  <c r="AP49" i="3"/>
  <c r="AP41" i="3"/>
  <c r="N61" i="15" s="1"/>
  <c r="AP25" i="3"/>
  <c r="N47" i="15" s="1"/>
  <c r="AP17" i="3"/>
  <c r="N39" i="15" s="1"/>
  <c r="AF153" i="3"/>
  <c r="J78" i="15" s="1"/>
  <c r="AZ143" i="3"/>
  <c r="AZ128" i="3"/>
  <c r="AZ99" i="3"/>
  <c r="R25" i="15" s="1"/>
  <c r="AZ150" i="3"/>
  <c r="R75" i="15" s="1"/>
  <c r="BJ139" i="3"/>
  <c r="V92" i="15" s="1"/>
  <c r="BM99" i="3"/>
  <c r="I25" i="15" s="1"/>
  <c r="R74" i="15" l="1"/>
  <c r="N74" i="15"/>
  <c r="J103" i="15"/>
  <c r="J74" i="15"/>
  <c r="BV44" i="3"/>
  <c r="AD44" i="3"/>
  <c r="H62" i="15" s="1"/>
  <c r="BM44" i="3"/>
  <c r="I62" i="15" s="1"/>
  <c r="J64" i="15"/>
  <c r="H13" i="18"/>
  <c r="I13" i="18" s="1"/>
  <c r="M95" i="15"/>
  <c r="M13" i="18"/>
  <c r="N13" i="18" s="1"/>
  <c r="I172" i="15"/>
  <c r="C7" i="17" s="1"/>
  <c r="D7" i="17" s="1"/>
  <c r="Q95" i="15"/>
  <c r="U95" i="15"/>
  <c r="R13" i="18"/>
  <c r="S13" i="18" s="1"/>
  <c r="E8" i="18"/>
  <c r="F8" i="18" s="1"/>
  <c r="J94" i="15"/>
  <c r="E9" i="18" s="1"/>
  <c r="F9" i="18" s="1"/>
  <c r="N94" i="15"/>
  <c r="J13" i="18" s="1"/>
  <c r="K13" i="18" s="1"/>
  <c r="R94" i="15"/>
  <c r="O13" i="18" s="1"/>
  <c r="P13" i="18" s="1"/>
  <c r="V94" i="15"/>
  <c r="T9" i="18" s="1"/>
  <c r="U9" i="18" s="1"/>
  <c r="BV73" i="3"/>
  <c r="BM73" i="3"/>
  <c r="AD73" i="3"/>
  <c r="R103" i="15"/>
  <c r="BQ83" i="3"/>
  <c r="Q72" i="15" s="1"/>
  <c r="BQ108" i="3"/>
  <c r="Q22" i="15" s="1"/>
  <c r="BV80" i="3"/>
  <c r="AN80" i="3"/>
  <c r="BO80" i="3"/>
  <c r="AX80" i="3"/>
  <c r="BQ80" i="3"/>
  <c r="Q65" i="15" s="1"/>
  <c r="H20" i="15"/>
  <c r="AC145" i="3"/>
  <c r="AY145" i="3"/>
  <c r="AE145" i="3"/>
  <c r="AO145" i="3"/>
  <c r="BL145" i="3"/>
  <c r="BI145" i="3"/>
  <c r="V103" i="15"/>
  <c r="BV67" i="3"/>
  <c r="AD67" i="3"/>
  <c r="BV94" i="3"/>
  <c r="AD94" i="3"/>
  <c r="V36" i="15"/>
  <c r="BV132" i="3"/>
  <c r="AD132" i="3"/>
  <c r="H88" i="15" s="1"/>
  <c r="BV108" i="3"/>
  <c r="AA108" i="3"/>
  <c r="H22" i="15" s="1"/>
  <c r="AY109" i="3"/>
  <c r="AO109" i="3"/>
  <c r="BI109" i="3"/>
  <c r="AE109" i="3"/>
  <c r="BL109" i="3"/>
  <c r="AC109" i="3"/>
  <c r="AE93" i="3"/>
  <c r="AO93" i="3"/>
  <c r="AC93" i="3"/>
  <c r="AY93" i="3"/>
  <c r="BI93" i="3"/>
  <c r="BL93" i="3"/>
  <c r="T11" i="18"/>
  <c r="U11" i="18" s="1"/>
  <c r="H200" i="15"/>
  <c r="AE83" i="3"/>
  <c r="J200" i="15" s="1"/>
  <c r="BL83" i="3"/>
  <c r="I200" i="15" s="1"/>
  <c r="AY83" i="3"/>
  <c r="R200" i="15" s="1"/>
  <c r="R202" i="15" s="1"/>
  <c r="R211" i="15" s="1"/>
  <c r="O8" i="17" s="1"/>
  <c r="P8" i="17" s="1"/>
  <c r="AO83" i="3"/>
  <c r="N200" i="15" s="1"/>
  <c r="N202" i="15" s="1"/>
  <c r="N211" i="15" s="1"/>
  <c r="J8" i="17" s="1"/>
  <c r="BI83" i="3"/>
  <c r="V200" i="15" s="1"/>
  <c r="V202" i="15" s="1"/>
  <c r="V211" i="15" s="1"/>
  <c r="T8" i="17" s="1"/>
  <c r="U8" i="17" s="1"/>
  <c r="R11" i="18"/>
  <c r="S11" i="18" s="1"/>
  <c r="BV83" i="3"/>
  <c r="AD74" i="3"/>
  <c r="BV74" i="3"/>
  <c r="BV109" i="3"/>
  <c r="O8" i="18"/>
  <c r="P8" i="18" s="1"/>
  <c r="T7" i="18"/>
  <c r="U7" i="18" s="1"/>
  <c r="O7" i="18"/>
  <c r="P7" i="18" s="1"/>
  <c r="T12" i="18"/>
  <c r="U12" i="18" s="1"/>
  <c r="T8" i="18"/>
  <c r="U8" i="18" s="1"/>
  <c r="J8" i="18"/>
  <c r="K8" i="18" s="1"/>
  <c r="E7" i="18"/>
  <c r="F7" i="18" s="1"/>
  <c r="J7" i="18"/>
  <c r="K7" i="18" s="1"/>
  <c r="R11" i="16"/>
  <c r="S11" i="16" s="1"/>
  <c r="H7" i="16"/>
  <c r="I7" i="16" s="1"/>
  <c r="M11" i="16"/>
  <c r="N11" i="16" s="1"/>
  <c r="C11" i="16"/>
  <c r="D11" i="16" s="1"/>
  <c r="H11" i="16"/>
  <c r="I11" i="16" s="1"/>
  <c r="O11" i="16"/>
  <c r="R7" i="16"/>
  <c r="S7" i="16" s="1"/>
  <c r="T11" i="16"/>
  <c r="U11" i="16" s="1"/>
  <c r="M7" i="16"/>
  <c r="N7" i="16" s="1"/>
  <c r="E11" i="16"/>
  <c r="F11" i="16" s="1"/>
  <c r="J11" i="16"/>
  <c r="K11" i="16" s="1"/>
  <c r="M8" i="16"/>
  <c r="N8" i="16" s="1"/>
  <c r="R8" i="16"/>
  <c r="S8" i="16" s="1"/>
  <c r="H8" i="16"/>
  <c r="I8" i="16" s="1"/>
  <c r="U36" i="15"/>
  <c r="R24" i="15"/>
  <c r="O11" i="18" s="1"/>
  <c r="P11" i="18" s="1"/>
  <c r="J24" i="15"/>
  <c r="E11" i="18" s="1"/>
  <c r="F11" i="18" s="1"/>
  <c r="N24" i="15"/>
  <c r="J11" i="18" s="1"/>
  <c r="K11" i="18" s="1"/>
  <c r="V64" i="15"/>
  <c r="R64" i="15"/>
  <c r="N64" i="15"/>
  <c r="M211" i="15"/>
  <c r="H8" i="17" s="1"/>
  <c r="I8" i="17" s="1"/>
  <c r="Q211" i="15"/>
  <c r="M8" i="17" s="1"/>
  <c r="N8" i="17" s="1"/>
  <c r="U211" i="15"/>
  <c r="R8" i="17" s="1"/>
  <c r="S8" i="17" s="1"/>
  <c r="BS83" i="3"/>
  <c r="U72" i="15" s="1"/>
  <c r="BO83" i="3"/>
  <c r="M72" i="15" s="1"/>
  <c r="BM74" i="3"/>
  <c r="BH109" i="3"/>
  <c r="BM67" i="3"/>
  <c r="BM108" i="3"/>
  <c r="I22" i="15" s="1"/>
  <c r="AD108" i="3"/>
  <c r="BM154" i="3"/>
  <c r="I93" i="15" s="1"/>
  <c r="AD154" i="3"/>
  <c r="H93" i="15" s="1"/>
  <c r="BM150" i="3"/>
  <c r="I75" i="15" s="1"/>
  <c r="AD150" i="3"/>
  <c r="H75" i="15" s="1"/>
  <c r="BQ109" i="3"/>
  <c r="Q23" i="15" s="1"/>
  <c r="AX109" i="3"/>
  <c r="BM109" i="3"/>
  <c r="I23" i="15" s="1"/>
  <c r="AD109" i="3"/>
  <c r="AD111" i="3"/>
  <c r="H31" i="15" s="1"/>
  <c r="BM111" i="3"/>
  <c r="I31" i="15" s="1"/>
  <c r="H101" i="15"/>
  <c r="I101" i="15"/>
  <c r="I103" i="15" s="1"/>
  <c r="AD83" i="3"/>
  <c r="H72" i="15" s="1"/>
  <c r="BM83" i="3"/>
  <c r="I72" i="15" s="1"/>
  <c r="I74" i="15" s="1"/>
  <c r="BM125" i="3"/>
  <c r="I82" i="15" s="1"/>
  <c r="AD125" i="3"/>
  <c r="H82" i="15" s="1"/>
  <c r="AD93" i="3"/>
  <c r="BM93" i="3"/>
  <c r="I16" i="15" s="1"/>
  <c r="BM132" i="3"/>
  <c r="I88" i="15" s="1"/>
  <c r="BM94" i="3"/>
  <c r="I17" i="15" s="1"/>
  <c r="BO109" i="3"/>
  <c r="M23" i="15" s="1"/>
  <c r="H11" i="18" s="1"/>
  <c r="I11" i="18" s="1"/>
  <c r="AN109" i="3"/>
  <c r="AD126" i="3"/>
  <c r="H83" i="15" s="1"/>
  <c r="BM126" i="3"/>
  <c r="I83" i="15" s="1"/>
  <c r="BM135" i="3"/>
  <c r="I91" i="15" s="1"/>
  <c r="AD135" i="3"/>
  <c r="H91" i="15" s="1"/>
  <c r="I64" i="15" l="1"/>
  <c r="C7" i="16" s="1"/>
  <c r="D7" i="16" s="1"/>
  <c r="C7" i="18"/>
  <c r="D7" i="18" s="1"/>
  <c r="I36" i="15"/>
  <c r="J36" i="15"/>
  <c r="I202" i="15"/>
  <c r="I211" i="15" s="1"/>
  <c r="C8" i="17" s="1"/>
  <c r="D8" i="17" s="1"/>
  <c r="J202" i="15"/>
  <c r="J211" i="15" s="1"/>
  <c r="E8" i="17" s="1"/>
  <c r="F8" i="17" s="1"/>
  <c r="J95" i="15"/>
  <c r="V95" i="15"/>
  <c r="T13" i="18"/>
  <c r="U13" i="18" s="1"/>
  <c r="O9" i="18"/>
  <c r="P9" i="18" s="1"/>
  <c r="R95" i="15"/>
  <c r="C13" i="18"/>
  <c r="D13" i="18" s="1"/>
  <c r="N95" i="15"/>
  <c r="J9" i="18"/>
  <c r="K9" i="18" s="1"/>
  <c r="H94" i="15"/>
  <c r="I94" i="15"/>
  <c r="I95" i="15" s="1"/>
  <c r="C11" i="18"/>
  <c r="D11" i="18" s="1"/>
  <c r="Q74" i="15"/>
  <c r="M9" i="16" s="1"/>
  <c r="N9" i="16" s="1"/>
  <c r="E10" i="18"/>
  <c r="F10" i="18" s="1"/>
  <c r="M10" i="18"/>
  <c r="N10" i="18" s="1"/>
  <c r="Q36" i="15"/>
  <c r="R36" i="15"/>
  <c r="N36" i="15"/>
  <c r="AC108" i="3"/>
  <c r="AE108" i="3"/>
  <c r="BL108" i="3"/>
  <c r="AY108" i="3"/>
  <c r="BI108" i="3"/>
  <c r="AO108" i="3"/>
  <c r="J10" i="18"/>
  <c r="K10" i="18" s="1"/>
  <c r="T10" i="18"/>
  <c r="U10" i="18" s="1"/>
  <c r="O10" i="18"/>
  <c r="P10" i="18" s="1"/>
  <c r="U74" i="15"/>
  <c r="U104" i="15" s="1"/>
  <c r="R6" i="17" s="1"/>
  <c r="S6" i="17" s="1"/>
  <c r="R10" i="18"/>
  <c r="S10" i="18" s="1"/>
  <c r="M11" i="18"/>
  <c r="N11" i="18" s="1"/>
  <c r="C10" i="18"/>
  <c r="D10" i="18" s="1"/>
  <c r="M74" i="15"/>
  <c r="H9" i="16" s="1"/>
  <c r="I9" i="16" s="1"/>
  <c r="H10" i="18"/>
  <c r="I10" i="18" s="1"/>
  <c r="R6" i="16"/>
  <c r="S6" i="16" s="1"/>
  <c r="T8" i="16"/>
  <c r="U8" i="16" s="1"/>
  <c r="E8" i="16"/>
  <c r="F8" i="16" s="1"/>
  <c r="T6" i="16"/>
  <c r="U6" i="16" s="1"/>
  <c r="J8" i="16"/>
  <c r="K8" i="16" s="1"/>
  <c r="O8" i="16"/>
  <c r="E7" i="16"/>
  <c r="F7" i="16" s="1"/>
  <c r="J7" i="16"/>
  <c r="K7" i="16" s="1"/>
  <c r="O7" i="16"/>
  <c r="T7" i="16"/>
  <c r="U7" i="16" s="1"/>
  <c r="M36" i="15"/>
  <c r="BG152" i="14"/>
  <c r="BA152" i="14"/>
  <c r="AX152" i="14"/>
  <c r="AO152" i="14"/>
  <c r="AF152" i="14"/>
  <c r="V152" i="14"/>
  <c r="Z152" i="14" s="1"/>
  <c r="K152" i="14"/>
  <c r="W152" i="14" s="1"/>
  <c r="AA152" i="14" s="1"/>
  <c r="B152" i="14"/>
  <c r="BG151" i="14"/>
  <c r="AX151" i="14"/>
  <c r="AO151" i="14"/>
  <c r="AF151" i="14"/>
  <c r="V151" i="14"/>
  <c r="AR151" i="14" s="1"/>
  <c r="K151" i="14"/>
  <c r="W151" i="14" s="1"/>
  <c r="AA151" i="14" s="1"/>
  <c r="B151" i="14"/>
  <c r="BG150" i="14"/>
  <c r="AX150" i="14"/>
  <c r="AO150" i="14"/>
  <c r="AF150" i="14"/>
  <c r="AD150" i="14"/>
  <c r="V150" i="14"/>
  <c r="AR150" i="14" s="1"/>
  <c r="K150" i="14"/>
  <c r="W150" i="14" s="1"/>
  <c r="AA150" i="14" s="1"/>
  <c r="B150" i="14"/>
  <c r="BH149" i="14"/>
  <c r="BG149" i="14"/>
  <c r="BF149" i="14"/>
  <c r="BE149" i="14"/>
  <c r="AY149" i="14"/>
  <c r="AX149" i="14"/>
  <c r="AW149" i="14"/>
  <c r="AV149" i="14"/>
  <c r="AP149" i="14"/>
  <c r="AO149" i="14"/>
  <c r="AN149" i="14"/>
  <c r="AM149" i="14"/>
  <c r="AG149" i="14"/>
  <c r="AF149" i="14"/>
  <c r="AE149" i="14"/>
  <c r="AD149" i="14"/>
  <c r="B149" i="14"/>
  <c r="BH148" i="14"/>
  <c r="BG148" i="14"/>
  <c r="BF148" i="14"/>
  <c r="BE148" i="14"/>
  <c r="AY148" i="14"/>
  <c r="AX148" i="14"/>
  <c r="AW148" i="14"/>
  <c r="AV148" i="14"/>
  <c r="AP148" i="14"/>
  <c r="AO148" i="14"/>
  <c r="AN148" i="14"/>
  <c r="AM148" i="14"/>
  <c r="AG148" i="14"/>
  <c r="AF148" i="14"/>
  <c r="AE148" i="14"/>
  <c r="AD148" i="14"/>
  <c r="B148" i="14"/>
  <c r="BA147" i="14"/>
  <c r="AR147" i="14"/>
  <c r="AA147" i="14"/>
  <c r="Z147" i="14"/>
  <c r="V147" i="14"/>
  <c r="AI147" i="14" s="1"/>
  <c r="B147" i="14"/>
  <c r="AI146" i="14"/>
  <c r="Z146" i="14"/>
  <c r="W146" i="14"/>
  <c r="AA146" i="14" s="1"/>
  <c r="V146" i="14"/>
  <c r="AR146" i="14" s="1"/>
  <c r="B146" i="14"/>
  <c r="BP137" i="14"/>
  <c r="BO137" i="14"/>
  <c r="BN137" i="14"/>
  <c r="BM137" i="14"/>
  <c r="BL137" i="14"/>
  <c r="BK137" i="14"/>
  <c r="BJ137" i="14"/>
  <c r="BI137" i="14"/>
  <c r="BH137" i="14"/>
  <c r="BG137" i="14"/>
  <c r="BF137" i="14"/>
  <c r="BE137" i="14"/>
  <c r="AY137" i="14"/>
  <c r="AX137" i="14"/>
  <c r="AW137" i="14"/>
  <c r="AV137" i="14"/>
  <c r="AP137" i="14"/>
  <c r="AO137" i="14"/>
  <c r="AN137" i="14"/>
  <c r="AM137" i="14"/>
  <c r="AG137" i="14"/>
  <c r="AF137" i="14"/>
  <c r="AE137" i="14"/>
  <c r="AD137" i="14"/>
  <c r="B137" i="14"/>
  <c r="BP136" i="14"/>
  <c r="BO136" i="14"/>
  <c r="BN136" i="14"/>
  <c r="BM136" i="14"/>
  <c r="BL136" i="14"/>
  <c r="BK136" i="14"/>
  <c r="BJ136" i="14"/>
  <c r="BI136" i="14"/>
  <c r="BH136" i="14"/>
  <c r="BG136" i="14"/>
  <c r="BF136" i="14"/>
  <c r="BE136" i="14"/>
  <c r="BA136" i="14"/>
  <c r="AY136" i="14"/>
  <c r="AX136" i="14"/>
  <c r="AW136" i="14"/>
  <c r="AV136" i="14"/>
  <c r="AR136" i="14"/>
  <c r="AP136" i="14"/>
  <c r="AO136" i="14"/>
  <c r="AN136" i="14"/>
  <c r="AM136" i="14"/>
  <c r="AI136" i="14"/>
  <c r="AG136" i="14"/>
  <c r="AF136" i="14"/>
  <c r="AE136" i="14"/>
  <c r="AD136" i="14"/>
  <c r="Z136" i="14"/>
  <c r="V136" i="14"/>
  <c r="B136" i="14"/>
  <c r="BP135" i="14"/>
  <c r="BO135" i="14"/>
  <c r="BN135" i="14"/>
  <c r="BM135" i="14"/>
  <c r="BL135" i="14"/>
  <c r="BK135" i="14"/>
  <c r="BJ135" i="14"/>
  <c r="BI135" i="14"/>
  <c r="BH135" i="14"/>
  <c r="BG135" i="14"/>
  <c r="BF135" i="14"/>
  <c r="BE135" i="14"/>
  <c r="BA135" i="14"/>
  <c r="AX135" i="14"/>
  <c r="AW135" i="14"/>
  <c r="AV135" i="14"/>
  <c r="AR135" i="14"/>
  <c r="AO135" i="14"/>
  <c r="AN135" i="14"/>
  <c r="AM135" i="14"/>
  <c r="AI135" i="14"/>
  <c r="AG135" i="14"/>
  <c r="AF135" i="14"/>
  <c r="AE135" i="14"/>
  <c r="AD135" i="14"/>
  <c r="Z135" i="14"/>
  <c r="W135" i="14"/>
  <c r="AY135" i="14" s="1"/>
  <c r="V135" i="14"/>
  <c r="B135" i="14"/>
  <c r="BP134" i="14"/>
  <c r="BO134" i="14"/>
  <c r="BN134" i="14"/>
  <c r="BM134" i="14"/>
  <c r="BL134" i="14"/>
  <c r="BK134" i="14"/>
  <c r="BJ134" i="14"/>
  <c r="BI134" i="14"/>
  <c r="BH134" i="14"/>
  <c r="BF134" i="14"/>
  <c r="BE134" i="14"/>
  <c r="BA134" i="14"/>
  <c r="AY134" i="14"/>
  <c r="AW134" i="14"/>
  <c r="AV134" i="14"/>
  <c r="AR134" i="14"/>
  <c r="AP134" i="14"/>
  <c r="AN134" i="14"/>
  <c r="AM134" i="14"/>
  <c r="AI134" i="14"/>
  <c r="AG134" i="14"/>
  <c r="AF134" i="14"/>
  <c r="AE134" i="14"/>
  <c r="AD134" i="14"/>
  <c r="Z134" i="14"/>
  <c r="V134" i="14"/>
  <c r="U134" i="14"/>
  <c r="AO134" i="14" s="1"/>
  <c r="B134" i="14"/>
  <c r="BP133" i="14"/>
  <c r="BO133" i="14"/>
  <c r="BN133" i="14"/>
  <c r="BM133" i="14"/>
  <c r="BL133" i="14"/>
  <c r="BK133" i="14"/>
  <c r="BJ133" i="14"/>
  <c r="BI133" i="14"/>
  <c r="BH133" i="14"/>
  <c r="BF133" i="14"/>
  <c r="BE133" i="14"/>
  <c r="BA133" i="14"/>
  <c r="AY133" i="14"/>
  <c r="AW133" i="14"/>
  <c r="AV133" i="14"/>
  <c r="AR133" i="14"/>
  <c r="AP133" i="14"/>
  <c r="AN133" i="14"/>
  <c r="AM133" i="14"/>
  <c r="AI133" i="14"/>
  <c r="AG133" i="14"/>
  <c r="AE133" i="14"/>
  <c r="AD133" i="14"/>
  <c r="Z133" i="14"/>
  <c r="V133" i="14"/>
  <c r="U133" i="14"/>
  <c r="BG133" i="14" s="1"/>
  <c r="B133" i="14"/>
  <c r="BP132" i="14"/>
  <c r="BO132" i="14"/>
  <c r="BN132" i="14"/>
  <c r="BM132" i="14"/>
  <c r="BL132" i="14"/>
  <c r="BK132" i="14"/>
  <c r="BJ132" i="14"/>
  <c r="BI132" i="14"/>
  <c r="BG132" i="14"/>
  <c r="BF132" i="14"/>
  <c r="BE132" i="14"/>
  <c r="AX132" i="14"/>
  <c r="AW132" i="14"/>
  <c r="AV132" i="14"/>
  <c r="AO132" i="14"/>
  <c r="AN132" i="14"/>
  <c r="AM132" i="14"/>
  <c r="AF132" i="14"/>
  <c r="AE132" i="14"/>
  <c r="AD132" i="14"/>
  <c r="W132" i="14"/>
  <c r="BH132" i="14" s="1"/>
  <c r="V132" i="14"/>
  <c r="B132" i="14"/>
  <c r="BP131" i="14"/>
  <c r="BO131" i="14"/>
  <c r="BN131" i="14"/>
  <c r="BM131" i="14"/>
  <c r="BL131" i="14"/>
  <c r="BK131" i="14"/>
  <c r="BJ131" i="14"/>
  <c r="BI131" i="14"/>
  <c r="BH131" i="14"/>
  <c r="BG131" i="14"/>
  <c r="BF131" i="14"/>
  <c r="BE131" i="14"/>
  <c r="BA131" i="14"/>
  <c r="AY131" i="14"/>
  <c r="AX131" i="14"/>
  <c r="AW131" i="14"/>
  <c r="AV131" i="14"/>
  <c r="AR131" i="14"/>
  <c r="AP131" i="14"/>
  <c r="AO131" i="14"/>
  <c r="AN131" i="14"/>
  <c r="AM131" i="14"/>
  <c r="AI131" i="14"/>
  <c r="AG131" i="14"/>
  <c r="AF131" i="14"/>
  <c r="AE131" i="14"/>
  <c r="AD131" i="14"/>
  <c r="Z131" i="14"/>
  <c r="V131" i="14"/>
  <c r="B131" i="14"/>
  <c r="BP130" i="14"/>
  <c r="BO130" i="14"/>
  <c r="BN130" i="14"/>
  <c r="BM130" i="14"/>
  <c r="BL130" i="14"/>
  <c r="BK130" i="14"/>
  <c r="BJ130" i="14"/>
  <c r="BI130" i="14"/>
  <c r="BH130" i="14"/>
  <c r="BG130" i="14"/>
  <c r="BF130" i="14"/>
  <c r="BE130" i="14"/>
  <c r="BA130" i="14"/>
  <c r="AY130" i="14"/>
  <c r="AX130" i="14"/>
  <c r="AW130" i="14"/>
  <c r="AV130" i="14"/>
  <c r="AR130" i="14"/>
  <c r="AP130" i="14"/>
  <c r="AO130" i="14"/>
  <c r="AN130" i="14"/>
  <c r="AM130" i="14"/>
  <c r="AI130" i="14"/>
  <c r="AG130" i="14"/>
  <c r="AF130" i="14"/>
  <c r="AE130" i="14"/>
  <c r="AD130" i="14"/>
  <c r="Z130" i="14"/>
  <c r="V130" i="14"/>
  <c r="B130" i="14"/>
  <c r="BO129" i="14"/>
  <c r="BM129" i="14"/>
  <c r="BK129" i="14"/>
  <c r="BI129" i="14"/>
  <c r="BG129" i="14"/>
  <c r="BE129" i="14"/>
  <c r="BB129" i="14"/>
  <c r="BP129" i="14" s="1"/>
  <c r="BA129" i="14"/>
  <c r="AX129" i="14"/>
  <c r="AV129" i="14"/>
  <c r="AS129" i="14"/>
  <c r="BN129" i="14" s="1"/>
  <c r="AR129" i="14"/>
  <c r="AO129" i="14"/>
  <c r="AM129" i="14"/>
  <c r="AJ129" i="14"/>
  <c r="BL129" i="14" s="1"/>
  <c r="AI129" i="14"/>
  <c r="AF129" i="14"/>
  <c r="AD129" i="14"/>
  <c r="AA129" i="14"/>
  <c r="BJ129" i="14" s="1"/>
  <c r="Z129" i="14"/>
  <c r="V129" i="14"/>
  <c r="K129" i="14"/>
  <c r="W129" i="14" s="1"/>
  <c r="B129" i="14"/>
  <c r="BP127" i="14"/>
  <c r="BO127" i="14"/>
  <c r="BN127" i="14"/>
  <c r="BM127" i="14"/>
  <c r="BL127" i="14"/>
  <c r="BK127" i="14"/>
  <c r="BJ127" i="14"/>
  <c r="BI127" i="14"/>
  <c r="BP126" i="14"/>
  <c r="BO126" i="14"/>
  <c r="BN126" i="14"/>
  <c r="BM126" i="14"/>
  <c r="BL126" i="14"/>
  <c r="BK126" i="14"/>
  <c r="BJ126" i="14"/>
  <c r="BI126" i="14"/>
  <c r="K126" i="14"/>
  <c r="BP123" i="14"/>
  <c r="BO123" i="14"/>
  <c r="BN123" i="14"/>
  <c r="BM123" i="14"/>
  <c r="BL123" i="14"/>
  <c r="BK123" i="14"/>
  <c r="BJ123" i="14"/>
  <c r="BI123" i="14"/>
  <c r="BP122" i="14"/>
  <c r="BO122" i="14"/>
  <c r="BN122" i="14"/>
  <c r="BM122" i="14"/>
  <c r="BL122" i="14"/>
  <c r="BK122" i="14"/>
  <c r="BJ122" i="14"/>
  <c r="BI122" i="14"/>
  <c r="BP121" i="14"/>
  <c r="BO121" i="14"/>
  <c r="BN121" i="14"/>
  <c r="BM121" i="14"/>
  <c r="BL121" i="14"/>
  <c r="BK121" i="14"/>
  <c r="BJ121" i="14"/>
  <c r="BI121" i="14"/>
  <c r="BP120" i="14"/>
  <c r="BO120" i="14"/>
  <c r="BN120" i="14"/>
  <c r="BM120" i="14"/>
  <c r="BL120" i="14"/>
  <c r="BK120" i="14"/>
  <c r="BJ120" i="14"/>
  <c r="BI120" i="14"/>
  <c r="BP119" i="14"/>
  <c r="BO119" i="14"/>
  <c r="BN119" i="14"/>
  <c r="BM119" i="14"/>
  <c r="BL119" i="14"/>
  <c r="BK119" i="14"/>
  <c r="BJ119" i="14"/>
  <c r="BI119" i="14"/>
  <c r="BH119" i="14"/>
  <c r="BG119" i="14"/>
  <c r="BF119" i="14"/>
  <c r="BE119" i="14"/>
  <c r="AY119" i="14"/>
  <c r="AX119" i="14"/>
  <c r="AW119" i="14"/>
  <c r="AV119" i="14"/>
  <c r="AP119" i="14"/>
  <c r="AO119" i="14"/>
  <c r="AN119" i="14"/>
  <c r="AM119" i="14"/>
  <c r="AG119" i="14"/>
  <c r="AF119" i="14"/>
  <c r="AE119" i="14"/>
  <c r="AD119" i="14"/>
  <c r="V119" i="14"/>
  <c r="AI119" i="14" s="1"/>
  <c r="B119" i="14"/>
  <c r="BP118" i="14"/>
  <c r="BO118" i="14"/>
  <c r="BN118" i="14"/>
  <c r="BM118" i="14"/>
  <c r="BL118" i="14"/>
  <c r="BK118" i="14"/>
  <c r="BJ118" i="14"/>
  <c r="BI118" i="14"/>
  <c r="BH118" i="14"/>
  <c r="BG118" i="14"/>
  <c r="BF118" i="14"/>
  <c r="BE118" i="14"/>
  <c r="BA118" i="14"/>
  <c r="AY118" i="14"/>
  <c r="AX118" i="14"/>
  <c r="AW118" i="14"/>
  <c r="AV118" i="14"/>
  <c r="AR118" i="14"/>
  <c r="AP118" i="14"/>
  <c r="AO118" i="14"/>
  <c r="AN118" i="14"/>
  <c r="AM118" i="14"/>
  <c r="AI118" i="14"/>
  <c r="AG118" i="14"/>
  <c r="AF118" i="14"/>
  <c r="AE118" i="14"/>
  <c r="AD118" i="14"/>
  <c r="Z118" i="14"/>
  <c r="V118" i="14"/>
  <c r="B118" i="14"/>
  <c r="BP117" i="14"/>
  <c r="BO117" i="14"/>
  <c r="BN117" i="14"/>
  <c r="BM117" i="14"/>
  <c r="BL117" i="14"/>
  <c r="BK117" i="14"/>
  <c r="BJ117" i="14"/>
  <c r="BI117" i="14"/>
  <c r="BH117" i="14"/>
  <c r="BF117" i="14"/>
  <c r="BE117" i="14"/>
  <c r="AY117" i="14"/>
  <c r="AW117" i="14"/>
  <c r="AV117" i="14"/>
  <c r="AP117" i="14"/>
  <c r="AN117" i="14"/>
  <c r="AM117" i="14"/>
  <c r="AG117" i="14"/>
  <c r="AE117" i="14"/>
  <c r="AD117" i="14"/>
  <c r="V117" i="14"/>
  <c r="BA117" i="14" s="1"/>
  <c r="U117" i="14"/>
  <c r="AX117" i="14" s="1"/>
  <c r="B117" i="14"/>
  <c r="BO116" i="14"/>
  <c r="BM116" i="14"/>
  <c r="BK116" i="14"/>
  <c r="BI116" i="14"/>
  <c r="BH116" i="14"/>
  <c r="BG116" i="14"/>
  <c r="BE116" i="14"/>
  <c r="BB116" i="14"/>
  <c r="BP116" i="14" s="1"/>
  <c r="BA116" i="14"/>
  <c r="AY116" i="14"/>
  <c r="AX116" i="14"/>
  <c r="AV116" i="14"/>
  <c r="AS116" i="14"/>
  <c r="AW116" i="14" s="1"/>
  <c r="AR116" i="14"/>
  <c r="AP116" i="14"/>
  <c r="AO116" i="14"/>
  <c r="AM116" i="14"/>
  <c r="AJ116" i="14"/>
  <c r="AN116" i="14" s="1"/>
  <c r="AI116" i="14"/>
  <c r="AG116" i="14"/>
  <c r="AF116" i="14"/>
  <c r="AD116" i="14"/>
  <c r="AA116" i="14"/>
  <c r="BJ116" i="14" s="1"/>
  <c r="Z116" i="14"/>
  <c r="V116" i="14"/>
  <c r="B116" i="14"/>
  <c r="BP115" i="14"/>
  <c r="BO115" i="14"/>
  <c r="BN115" i="14"/>
  <c r="BM115" i="14"/>
  <c r="BL115" i="14"/>
  <c r="BK115" i="14"/>
  <c r="BJ115" i="14"/>
  <c r="BI115" i="14"/>
  <c r="BH115" i="14"/>
  <c r="BG115" i="14"/>
  <c r="BF115" i="14"/>
  <c r="BE115" i="14"/>
  <c r="BA115" i="14"/>
  <c r="AY115" i="14"/>
  <c r="AX115" i="14"/>
  <c r="AW115" i="14"/>
  <c r="AV115" i="14"/>
  <c r="AR115" i="14"/>
  <c r="AP115" i="14"/>
  <c r="AO115" i="14"/>
  <c r="AN115" i="14"/>
  <c r="AM115" i="14"/>
  <c r="AI115" i="14"/>
  <c r="AG115" i="14"/>
  <c r="AF115" i="14"/>
  <c r="AE115" i="14"/>
  <c r="AD115" i="14"/>
  <c r="Z115" i="14"/>
  <c r="V115" i="14"/>
  <c r="B115" i="14"/>
  <c r="BP114" i="14"/>
  <c r="BO114" i="14"/>
  <c r="BN114" i="14"/>
  <c r="BM114" i="14"/>
  <c r="BL114" i="14"/>
  <c r="BK114" i="14"/>
  <c r="BJ114" i="14"/>
  <c r="BI114" i="14"/>
  <c r="BH114" i="14"/>
  <c r="BG114" i="14"/>
  <c r="BF114" i="14"/>
  <c r="BE114" i="14"/>
  <c r="BA114" i="14"/>
  <c r="AY114" i="14"/>
  <c r="AX114" i="14"/>
  <c r="AW114" i="14"/>
  <c r="AV114" i="14"/>
  <c r="AR114" i="14"/>
  <c r="AP114" i="14"/>
  <c r="AO114" i="14"/>
  <c r="AN114" i="14"/>
  <c r="AM114" i="14"/>
  <c r="AI114" i="14"/>
  <c r="AG114" i="14"/>
  <c r="AF114" i="14"/>
  <c r="AE114" i="14"/>
  <c r="AD114" i="14"/>
  <c r="Z114" i="14"/>
  <c r="V114" i="14"/>
  <c r="B114" i="14"/>
  <c r="BP113" i="14"/>
  <c r="BO113" i="14"/>
  <c r="BN113" i="14"/>
  <c r="BM113" i="14"/>
  <c r="BL113" i="14"/>
  <c r="BK113" i="14"/>
  <c r="BJ113" i="14"/>
  <c r="BI113" i="14"/>
  <c r="BH113" i="14"/>
  <c r="BG113" i="14"/>
  <c r="BF113" i="14"/>
  <c r="BE113" i="14"/>
  <c r="BA113" i="14"/>
  <c r="AY113" i="14"/>
  <c r="AX113" i="14"/>
  <c r="AW113" i="14"/>
  <c r="AV113" i="14"/>
  <c r="AR113" i="14"/>
  <c r="AP113" i="14"/>
  <c r="AO113" i="14"/>
  <c r="AN113" i="14"/>
  <c r="AM113" i="14"/>
  <c r="AI113" i="14"/>
  <c r="AG113" i="14"/>
  <c r="AF113" i="14"/>
  <c r="AE113" i="14"/>
  <c r="AD113" i="14"/>
  <c r="Z113" i="14"/>
  <c r="V113" i="14"/>
  <c r="B113" i="14"/>
  <c r="BP112" i="14"/>
  <c r="BO112" i="14"/>
  <c r="BN112" i="14"/>
  <c r="BM112" i="14"/>
  <c r="BL112" i="14"/>
  <c r="BK112" i="14"/>
  <c r="BJ112" i="14"/>
  <c r="BI112" i="14"/>
  <c r="BH112" i="14"/>
  <c r="BG112" i="14"/>
  <c r="BF112" i="14"/>
  <c r="BE112" i="14"/>
  <c r="BA112" i="14"/>
  <c r="AY112" i="14"/>
  <c r="AX112" i="14"/>
  <c r="AW112" i="14"/>
  <c r="AV112" i="14"/>
  <c r="AR112" i="14"/>
  <c r="AP112" i="14"/>
  <c r="AO112" i="14"/>
  <c r="AN112" i="14"/>
  <c r="AM112" i="14"/>
  <c r="AI112" i="14"/>
  <c r="AG112" i="14"/>
  <c r="AF112" i="14"/>
  <c r="AE112" i="14"/>
  <c r="AD112" i="14"/>
  <c r="Z112" i="14"/>
  <c r="V112" i="14"/>
  <c r="B112" i="14"/>
  <c r="BP111" i="14"/>
  <c r="BO111" i="14"/>
  <c r="BN111" i="14"/>
  <c r="BM111" i="14"/>
  <c r="BL111" i="14"/>
  <c r="BK111" i="14"/>
  <c r="BJ111" i="14"/>
  <c r="BI111" i="14"/>
  <c r="BH111" i="14"/>
  <c r="BG111" i="14"/>
  <c r="BF111" i="14"/>
  <c r="BE111" i="14"/>
  <c r="BA111" i="14"/>
  <c r="AY111" i="14"/>
  <c r="AX111" i="14"/>
  <c r="AW111" i="14"/>
  <c r="AV111" i="14"/>
  <c r="AR111" i="14"/>
  <c r="AP111" i="14"/>
  <c r="AO111" i="14"/>
  <c r="AN111" i="14"/>
  <c r="AM111" i="14"/>
  <c r="AI111" i="14"/>
  <c r="AG111" i="14"/>
  <c r="AF111" i="14"/>
  <c r="AE111" i="14"/>
  <c r="AD111" i="14"/>
  <c r="Z111" i="14"/>
  <c r="V111" i="14"/>
  <c r="B111" i="14"/>
  <c r="BP110" i="14"/>
  <c r="BO110" i="14"/>
  <c r="BN110" i="14"/>
  <c r="BM110" i="14"/>
  <c r="BL110" i="14"/>
  <c r="BK110" i="14"/>
  <c r="BJ110" i="14"/>
  <c r="BI110" i="14"/>
  <c r="BH110" i="14"/>
  <c r="BG110" i="14"/>
  <c r="BF110" i="14"/>
  <c r="BE110" i="14"/>
  <c r="BA110" i="14"/>
  <c r="AY110" i="14"/>
  <c r="AX110" i="14"/>
  <c r="AW110" i="14"/>
  <c r="AV110" i="14"/>
  <c r="AR110" i="14"/>
  <c r="AP110" i="14"/>
  <c r="AO110" i="14"/>
  <c r="AN110" i="14"/>
  <c r="AM110" i="14"/>
  <c r="AI110" i="14"/>
  <c r="AG110" i="14"/>
  <c r="AF110" i="14"/>
  <c r="AE110" i="14"/>
  <c r="AD110" i="14"/>
  <c r="Z110" i="14"/>
  <c r="V110" i="14"/>
  <c r="B110" i="14"/>
  <c r="BP109" i="14"/>
  <c r="BO109" i="14"/>
  <c r="BN109" i="14"/>
  <c r="BM109" i="14"/>
  <c r="BL109" i="14"/>
  <c r="BK109" i="14"/>
  <c r="BJ109" i="14"/>
  <c r="BI109" i="14"/>
  <c r="BH109" i="14"/>
  <c r="BF109" i="14"/>
  <c r="BE109" i="14"/>
  <c r="BA109" i="14"/>
  <c r="AY109" i="14"/>
  <c r="AW109" i="14"/>
  <c r="AV109" i="14"/>
  <c r="AR109" i="14"/>
  <c r="AP109" i="14"/>
  <c r="AN109" i="14"/>
  <c r="AM109" i="14"/>
  <c r="AI109" i="14"/>
  <c r="AG109" i="14"/>
  <c r="AE109" i="14"/>
  <c r="AD109" i="14"/>
  <c r="Z109" i="14"/>
  <c r="V109" i="14"/>
  <c r="U109" i="14"/>
  <c r="BG109" i="14" s="1"/>
  <c r="B109" i="14"/>
  <c r="AF108" i="14"/>
  <c r="AE108" i="14"/>
  <c r="AD108" i="14"/>
  <c r="W108" i="14"/>
  <c r="AG108" i="14" s="1"/>
  <c r="K108" i="14"/>
  <c r="B108" i="14"/>
  <c r="BP107" i="14"/>
  <c r="BO107" i="14"/>
  <c r="BN107" i="14"/>
  <c r="BM107" i="14"/>
  <c r="BL107" i="14"/>
  <c r="BK107" i="14"/>
  <c r="BJ107" i="14"/>
  <c r="BI107" i="14"/>
  <c r="BG107" i="14"/>
  <c r="BF107" i="14"/>
  <c r="BE107" i="14"/>
  <c r="AX107" i="14"/>
  <c r="AW107" i="14"/>
  <c r="AV107" i="14"/>
  <c r="AO107" i="14"/>
  <c r="AN107" i="14"/>
  <c r="AM107" i="14"/>
  <c r="AF107" i="14"/>
  <c r="AE107" i="14"/>
  <c r="AD107" i="14"/>
  <c r="W107" i="14"/>
  <c r="BH107" i="14" s="1"/>
  <c r="B107" i="14"/>
  <c r="BP106" i="14"/>
  <c r="BO106" i="14"/>
  <c r="BN106" i="14"/>
  <c r="BM106" i="14"/>
  <c r="BL106" i="14"/>
  <c r="BK106" i="14"/>
  <c r="BJ106" i="14"/>
  <c r="BI106" i="14"/>
  <c r="BH106" i="14"/>
  <c r="BG106" i="14"/>
  <c r="BF106" i="14"/>
  <c r="BE106" i="14"/>
  <c r="BA106" i="14"/>
  <c r="AY106" i="14"/>
  <c r="AX106" i="14"/>
  <c r="AW106" i="14"/>
  <c r="AV106" i="14"/>
  <c r="AR106" i="14"/>
  <c r="AP106" i="14"/>
  <c r="AO106" i="14"/>
  <c r="AN106" i="14"/>
  <c r="AM106" i="14"/>
  <c r="AI106" i="14"/>
  <c r="AG106" i="14"/>
  <c r="AF106" i="14"/>
  <c r="AE106" i="14"/>
  <c r="AD106" i="14"/>
  <c r="Z106" i="14"/>
  <c r="V106" i="14"/>
  <c r="B106" i="14"/>
  <c r="BO105" i="14"/>
  <c r="BM105" i="14"/>
  <c r="BK105" i="14"/>
  <c r="BI105" i="14"/>
  <c r="AF105" i="14"/>
  <c r="AD105" i="14"/>
  <c r="W105" i="14"/>
  <c r="AG105" i="14" s="1"/>
  <c r="K105" i="14"/>
  <c r="AA105" i="14" s="1"/>
  <c r="BN104" i="14"/>
  <c r="BL104" i="14"/>
  <c r="BJ104" i="14"/>
  <c r="BG104" i="14"/>
  <c r="BB104" i="14"/>
  <c r="AZ104" i="14" s="1"/>
  <c r="BA104" i="14"/>
  <c r="AX104" i="14"/>
  <c r="AW104" i="14"/>
  <c r="AR104" i="14"/>
  <c r="AO104" i="14"/>
  <c r="AN104" i="14"/>
  <c r="AJ104" i="14"/>
  <c r="AI104" i="14"/>
  <c r="AF104" i="14"/>
  <c r="AE104" i="14"/>
  <c r="Z104" i="14"/>
  <c r="V104" i="14"/>
  <c r="K104" i="14"/>
  <c r="AQ104" i="14" s="1"/>
  <c r="B104" i="14"/>
  <c r="BP103" i="14"/>
  <c r="BO103" i="14"/>
  <c r="BN103" i="14"/>
  <c r="BM103" i="14"/>
  <c r="BL103" i="14"/>
  <c r="BK103" i="14"/>
  <c r="BJ103" i="14"/>
  <c r="BI103" i="14"/>
  <c r="BG103" i="14"/>
  <c r="BF103" i="14"/>
  <c r="BE103" i="14"/>
  <c r="AX103" i="14"/>
  <c r="AV103" i="14"/>
  <c r="AS103" i="14"/>
  <c r="AW103" i="14" s="1"/>
  <c r="AO103" i="14"/>
  <c r="AM103" i="14"/>
  <c r="AJ103" i="14"/>
  <c r="AN103" i="14" s="1"/>
  <c r="AF103" i="14"/>
  <c r="AD103" i="14"/>
  <c r="AA103" i="14"/>
  <c r="AE103" i="14" s="1"/>
  <c r="Z103" i="14"/>
  <c r="V103" i="14"/>
  <c r="AI103" i="14" s="1"/>
  <c r="BA103" i="14" s="1"/>
  <c r="K103" i="14"/>
  <c r="W103" i="14" s="1"/>
  <c r="B103" i="14"/>
  <c r="BP102" i="14"/>
  <c r="BO102" i="14"/>
  <c r="BN102" i="14"/>
  <c r="BM102" i="14"/>
  <c r="BL102" i="14"/>
  <c r="BK102" i="14"/>
  <c r="BJ102" i="14"/>
  <c r="BI102" i="14"/>
  <c r="BG102" i="14"/>
  <c r="BF102" i="14"/>
  <c r="BE102" i="14"/>
  <c r="AX102" i="14"/>
  <c r="AW102" i="14"/>
  <c r="AV102" i="14"/>
  <c r="AO102" i="14"/>
  <c r="AN102" i="14"/>
  <c r="AM102" i="14"/>
  <c r="AF102" i="14"/>
  <c r="AE102" i="14"/>
  <c r="AD102" i="14"/>
  <c r="V102" i="14"/>
  <c r="BA102" i="14" s="1"/>
  <c r="B102" i="14"/>
  <c r="BP101" i="14"/>
  <c r="BO101" i="14"/>
  <c r="BN101" i="14"/>
  <c r="BM101" i="14"/>
  <c r="BL101" i="14"/>
  <c r="BK101" i="14"/>
  <c r="BI101" i="14"/>
  <c r="BG101" i="14"/>
  <c r="BF101" i="14"/>
  <c r="BE101" i="14"/>
  <c r="BA101" i="14"/>
  <c r="AX101" i="14"/>
  <c r="AW101" i="14"/>
  <c r="AV101" i="14"/>
  <c r="AR101" i="14"/>
  <c r="AO101" i="14"/>
  <c r="AN101" i="14"/>
  <c r="AM101" i="14"/>
  <c r="AI101" i="14"/>
  <c r="AF101" i="14"/>
  <c r="AD101" i="14"/>
  <c r="Z101" i="14"/>
  <c r="V101" i="14"/>
  <c r="B101" i="14"/>
  <c r="BO100" i="14"/>
  <c r="BM100" i="14"/>
  <c r="BK100" i="14"/>
  <c r="BI100" i="14"/>
  <c r="W100" i="14"/>
  <c r="AA100" i="14" s="1"/>
  <c r="BJ100" i="14" s="1"/>
  <c r="B100" i="14"/>
  <c r="BP99" i="14"/>
  <c r="BO99" i="14"/>
  <c r="BN99" i="14"/>
  <c r="BM99" i="14"/>
  <c r="BL99" i="14"/>
  <c r="BK99" i="14"/>
  <c r="BJ99" i="14"/>
  <c r="BI99" i="14"/>
  <c r="W99" i="14"/>
  <c r="V99" i="14"/>
  <c r="B99" i="14"/>
  <c r="BP98" i="14"/>
  <c r="BO98" i="14"/>
  <c r="BN98" i="14"/>
  <c r="BM98" i="14"/>
  <c r="BL98" i="14"/>
  <c r="BK98" i="14"/>
  <c r="BJ98" i="14"/>
  <c r="BI98" i="14"/>
  <c r="BG98" i="14"/>
  <c r="BF98" i="14"/>
  <c r="BE98" i="14"/>
  <c r="AX98" i="14"/>
  <c r="AW98" i="14"/>
  <c r="AV98" i="14"/>
  <c r="AO98" i="14"/>
  <c r="AN98" i="14"/>
  <c r="AM98" i="14"/>
  <c r="AF98" i="14"/>
  <c r="AE98" i="14"/>
  <c r="AD98" i="14"/>
  <c r="V98" i="14"/>
  <c r="Z98" i="14" s="1"/>
  <c r="B98" i="14"/>
  <c r="BP97" i="14"/>
  <c r="BO97" i="14"/>
  <c r="BN97" i="14"/>
  <c r="BM97" i="14"/>
  <c r="BK97" i="14"/>
  <c r="BI97" i="14"/>
  <c r="BG97" i="14"/>
  <c r="BF97" i="14"/>
  <c r="BE97" i="14"/>
  <c r="BA97" i="14"/>
  <c r="AY97" i="14"/>
  <c r="AX97" i="14"/>
  <c r="AW97" i="14"/>
  <c r="AV97" i="14"/>
  <c r="AR97" i="14"/>
  <c r="AO97" i="14"/>
  <c r="AM97" i="14"/>
  <c r="AI97" i="14"/>
  <c r="AF97" i="14"/>
  <c r="AD97" i="14"/>
  <c r="Z97" i="14"/>
  <c r="W97" i="14"/>
  <c r="AP97" i="14" s="1"/>
  <c r="V97" i="14"/>
  <c r="B97" i="14"/>
  <c r="BP96" i="14"/>
  <c r="BO96" i="14"/>
  <c r="BN96" i="14"/>
  <c r="BM96" i="14"/>
  <c r="BL96" i="14"/>
  <c r="BK96" i="14"/>
  <c r="BI96" i="14"/>
  <c r="BG96" i="14"/>
  <c r="BF96" i="14"/>
  <c r="BE96" i="14"/>
  <c r="BA96" i="14"/>
  <c r="AX96" i="14"/>
  <c r="AW96" i="14"/>
  <c r="AV96" i="14"/>
  <c r="AR96" i="14"/>
  <c r="AO96" i="14"/>
  <c r="AN96" i="14"/>
  <c r="AM96" i="14"/>
  <c r="AI96" i="14"/>
  <c r="AF96" i="14"/>
  <c r="AD96" i="14"/>
  <c r="Z96" i="14"/>
  <c r="W96" i="14"/>
  <c r="AY96" i="14" s="1"/>
  <c r="V96" i="14"/>
  <c r="B96" i="14"/>
  <c r="BP95" i="14"/>
  <c r="BO95" i="14"/>
  <c r="BN95" i="14"/>
  <c r="BM95" i="14"/>
  <c r="BL95" i="14"/>
  <c r="BK95" i="14"/>
  <c r="BJ95" i="14"/>
  <c r="BI95" i="14"/>
  <c r="BH95" i="14"/>
  <c r="BG95" i="14"/>
  <c r="BF95" i="14"/>
  <c r="BE95" i="14"/>
  <c r="AY95" i="14"/>
  <c r="AX95" i="14"/>
  <c r="AW95" i="14"/>
  <c r="AV95" i="14"/>
  <c r="AP95" i="14"/>
  <c r="AO95" i="14"/>
  <c r="AN95" i="14"/>
  <c r="AM95" i="14"/>
  <c r="AG95" i="14"/>
  <c r="AF95" i="14"/>
  <c r="AE95" i="14"/>
  <c r="AD95" i="14"/>
  <c r="V95" i="14"/>
  <c r="AR95" i="14" s="1"/>
  <c r="B95" i="14"/>
  <c r="BO94" i="14"/>
  <c r="BM94" i="14"/>
  <c r="BK94" i="14"/>
  <c r="BI94" i="14"/>
  <c r="BG94" i="14"/>
  <c r="BE94" i="14"/>
  <c r="BA94" i="14"/>
  <c r="AX94" i="14"/>
  <c r="AV94" i="14"/>
  <c r="AR94" i="14"/>
  <c r="AO94" i="14"/>
  <c r="AM94" i="14"/>
  <c r="AI94" i="14"/>
  <c r="AF94" i="14"/>
  <c r="AD94" i="14"/>
  <c r="Z94" i="14"/>
  <c r="W94" i="14"/>
  <c r="BH94" i="14" s="1"/>
  <c r="V94" i="14"/>
  <c r="B94" i="14"/>
  <c r="BP93" i="14"/>
  <c r="BO93" i="14"/>
  <c r="BN93" i="14"/>
  <c r="BM93" i="14"/>
  <c r="BL93" i="14"/>
  <c r="BK93" i="14"/>
  <c r="BJ93" i="14"/>
  <c r="BI93" i="14"/>
  <c r="BH93" i="14"/>
  <c r="BG93" i="14"/>
  <c r="BF93" i="14"/>
  <c r="BE93" i="14"/>
  <c r="BA93" i="14"/>
  <c r="AY93" i="14"/>
  <c r="AX93" i="14"/>
  <c r="AW93" i="14"/>
  <c r="AV93" i="14"/>
  <c r="AR93" i="14"/>
  <c r="AP93" i="14"/>
  <c r="AO93" i="14"/>
  <c r="AN93" i="14"/>
  <c r="AM93" i="14"/>
  <c r="AI93" i="14"/>
  <c r="AG93" i="14"/>
  <c r="AF93" i="14"/>
  <c r="AE93" i="14"/>
  <c r="AD93" i="14"/>
  <c r="Z93" i="14"/>
  <c r="V93" i="14"/>
  <c r="B93" i="14"/>
  <c r="BP92" i="14"/>
  <c r="BO92" i="14"/>
  <c r="BN92" i="14"/>
  <c r="BM92" i="14"/>
  <c r="BL92" i="14"/>
  <c r="BK92" i="14"/>
  <c r="BJ92" i="14"/>
  <c r="BI92" i="14"/>
  <c r="BH92" i="14"/>
  <c r="BG92" i="14"/>
  <c r="BF92" i="14"/>
  <c r="BE92" i="14"/>
  <c r="BA92" i="14"/>
  <c r="AY92" i="14"/>
  <c r="AX92" i="14"/>
  <c r="AW92" i="14"/>
  <c r="AV92" i="14"/>
  <c r="AR92" i="14"/>
  <c r="AP92" i="14"/>
  <c r="AO92" i="14"/>
  <c r="AN92" i="14"/>
  <c r="AM92" i="14"/>
  <c r="AI92" i="14"/>
  <c r="AG92" i="14"/>
  <c r="AF92" i="14"/>
  <c r="AE92" i="14"/>
  <c r="AD92" i="14"/>
  <c r="Z92" i="14"/>
  <c r="V92" i="14"/>
  <c r="B92" i="14"/>
  <c r="BP91" i="14"/>
  <c r="BO91" i="14"/>
  <c r="BN91" i="14"/>
  <c r="BM91" i="14"/>
  <c r="BL91" i="14"/>
  <c r="BK91" i="14"/>
  <c r="BJ91" i="14"/>
  <c r="BI91" i="14"/>
  <c r="BH91" i="14"/>
  <c r="BG91" i="14"/>
  <c r="BF91" i="14"/>
  <c r="BE91" i="14"/>
  <c r="BA91" i="14"/>
  <c r="AY91" i="14"/>
  <c r="AX91" i="14"/>
  <c r="AW91" i="14"/>
  <c r="AV91" i="14"/>
  <c r="AR91" i="14"/>
  <c r="AP91" i="14"/>
  <c r="AO91" i="14"/>
  <c r="AN91" i="14"/>
  <c r="AM91" i="14"/>
  <c r="AI91" i="14"/>
  <c r="AG91" i="14"/>
  <c r="AF91" i="14"/>
  <c r="AE91" i="14"/>
  <c r="AD91" i="14"/>
  <c r="Z91" i="14"/>
  <c r="V91" i="14"/>
  <c r="B91" i="14"/>
  <c r="BP90" i="14"/>
  <c r="BO90" i="14"/>
  <c r="BN90" i="14"/>
  <c r="BM90" i="14"/>
  <c r="BL90" i="14"/>
  <c r="BK90" i="14"/>
  <c r="BJ90" i="14"/>
  <c r="BI90" i="14"/>
  <c r="BH90" i="14"/>
  <c r="BG90" i="14"/>
  <c r="BF90" i="14"/>
  <c r="BE90" i="14"/>
  <c r="BA90" i="14"/>
  <c r="AY90" i="14"/>
  <c r="AX90" i="14"/>
  <c r="AW90" i="14"/>
  <c r="AV90" i="14"/>
  <c r="AR90" i="14"/>
  <c r="AP90" i="14"/>
  <c r="AO90" i="14"/>
  <c r="AN90" i="14"/>
  <c r="AM90" i="14"/>
  <c r="AI90" i="14"/>
  <c r="AG90" i="14"/>
  <c r="AF90" i="14"/>
  <c r="AE90" i="14"/>
  <c r="AD90" i="14"/>
  <c r="Z90" i="14"/>
  <c r="V90" i="14"/>
  <c r="L90" i="14"/>
  <c r="B90" i="14"/>
  <c r="BP89" i="14"/>
  <c r="BO89" i="14"/>
  <c r="BN89" i="14"/>
  <c r="BM89" i="14"/>
  <c r="BL89" i="14"/>
  <c r="BK89" i="14"/>
  <c r="BJ89" i="14"/>
  <c r="BI89" i="14"/>
  <c r="BG89" i="14"/>
  <c r="BF89" i="14"/>
  <c r="BE89" i="14"/>
  <c r="BA89" i="14"/>
  <c r="AX89" i="14"/>
  <c r="AW89" i="14"/>
  <c r="AV89" i="14"/>
  <c r="AR89" i="14"/>
  <c r="AO89" i="14"/>
  <c r="AN89" i="14"/>
  <c r="AM89" i="14"/>
  <c r="AI89" i="14"/>
  <c r="AF89" i="14"/>
  <c r="AE89" i="14"/>
  <c r="AD89" i="14"/>
  <c r="Z89" i="14"/>
  <c r="W89" i="14"/>
  <c r="AG89" i="14" s="1"/>
  <c r="V89" i="14"/>
  <c r="B89" i="14"/>
  <c r="BP88" i="14"/>
  <c r="BO88" i="14"/>
  <c r="BN88" i="14"/>
  <c r="BM88" i="14"/>
  <c r="BL88" i="14"/>
  <c r="BK88" i="14"/>
  <c r="BJ88" i="14"/>
  <c r="BI88" i="14"/>
  <c r="BH88" i="14"/>
  <c r="BG88" i="14"/>
  <c r="BF88" i="14"/>
  <c r="BE88" i="14"/>
  <c r="BA88" i="14"/>
  <c r="AY88" i="14"/>
  <c r="AX88" i="14"/>
  <c r="AW88" i="14"/>
  <c r="AV88" i="14"/>
  <c r="AR88" i="14"/>
  <c r="AP88" i="14"/>
  <c r="AO88" i="14"/>
  <c r="AN88" i="14"/>
  <c r="AM88" i="14"/>
  <c r="AI88" i="14"/>
  <c r="AG88" i="14"/>
  <c r="AF88" i="14"/>
  <c r="AE88" i="14"/>
  <c r="AD88" i="14"/>
  <c r="Z88" i="14"/>
  <c r="V88" i="14"/>
  <c r="B88" i="14"/>
  <c r="BP87" i="14"/>
  <c r="BO87" i="14"/>
  <c r="BN87" i="14"/>
  <c r="BM87" i="14"/>
  <c r="BL87" i="14"/>
  <c r="BK87" i="14"/>
  <c r="BJ87" i="14"/>
  <c r="BI87" i="14"/>
  <c r="BH87" i="14"/>
  <c r="BG87" i="14"/>
  <c r="BF87" i="14"/>
  <c r="BE87" i="14"/>
  <c r="BA87" i="14"/>
  <c r="AY87" i="14"/>
  <c r="AX87" i="14"/>
  <c r="AW87" i="14"/>
  <c r="AV87" i="14"/>
  <c r="AR87" i="14"/>
  <c r="AP87" i="14"/>
  <c r="AO87" i="14"/>
  <c r="AN87" i="14"/>
  <c r="AM87" i="14"/>
  <c r="AI87" i="14"/>
  <c r="AG87" i="14"/>
  <c r="AF87" i="14"/>
  <c r="AE87" i="14"/>
  <c r="AD87" i="14"/>
  <c r="Z87" i="14"/>
  <c r="V87" i="14"/>
  <c r="B87" i="14"/>
  <c r="BH86" i="14"/>
  <c r="BG86" i="14"/>
  <c r="BF86" i="14"/>
  <c r="BE86" i="14"/>
  <c r="BA86" i="14"/>
  <c r="AY86" i="14"/>
  <c r="AX86" i="14"/>
  <c r="AW86" i="14"/>
  <c r="AV86" i="14"/>
  <c r="AR86" i="14"/>
  <c r="AP86" i="14"/>
  <c r="AO86" i="14"/>
  <c r="AN86" i="14"/>
  <c r="AM86" i="14"/>
  <c r="AI86" i="14"/>
  <c r="AG86" i="14"/>
  <c r="AF86" i="14"/>
  <c r="AD86" i="14"/>
  <c r="AA86" i="14"/>
  <c r="AE86" i="14" s="1"/>
  <c r="Z86" i="14"/>
  <c r="V86" i="14"/>
  <c r="B86" i="14"/>
  <c r="BP85" i="14"/>
  <c r="BO85" i="14"/>
  <c r="BN85" i="14"/>
  <c r="BM85" i="14"/>
  <c r="BL85" i="14"/>
  <c r="BK85" i="14"/>
  <c r="BI85" i="14"/>
  <c r="BH85" i="14"/>
  <c r="BG85" i="14"/>
  <c r="BF85" i="14"/>
  <c r="BE85" i="14"/>
  <c r="BA85" i="14"/>
  <c r="AY85" i="14"/>
  <c r="AX85" i="14"/>
  <c r="AW85" i="14"/>
  <c r="AV85" i="14"/>
  <c r="AR85" i="14"/>
  <c r="AP85" i="14"/>
  <c r="AO85" i="14"/>
  <c r="AN85" i="14"/>
  <c r="AM85" i="14"/>
  <c r="AI85" i="14"/>
  <c r="AG85" i="14"/>
  <c r="AF85" i="14"/>
  <c r="AD85" i="14"/>
  <c r="AA85" i="14"/>
  <c r="BJ85" i="14" s="1"/>
  <c r="Z85" i="14"/>
  <c r="V85" i="14"/>
  <c r="B85" i="14"/>
  <c r="BP84" i="14"/>
  <c r="BO84" i="14"/>
  <c r="BN84" i="14"/>
  <c r="BM84" i="14"/>
  <c r="BL84" i="14"/>
  <c r="BK84" i="14"/>
  <c r="BI84" i="14"/>
  <c r="BH84" i="14"/>
  <c r="BG84" i="14"/>
  <c r="BF84" i="14"/>
  <c r="BE84" i="14"/>
  <c r="AY84" i="14"/>
  <c r="AX84" i="14"/>
  <c r="AW84" i="14"/>
  <c r="AV84" i="14"/>
  <c r="AP84" i="14"/>
  <c r="AO84" i="14"/>
  <c r="AN84" i="14"/>
  <c r="AM84" i="14"/>
  <c r="AG84" i="14"/>
  <c r="AF84" i="14"/>
  <c r="AD84" i="14"/>
  <c r="AA84" i="14"/>
  <c r="BJ84" i="14" s="1"/>
  <c r="B84" i="14"/>
  <c r="BP83" i="14"/>
  <c r="BO83" i="14"/>
  <c r="BN83" i="14"/>
  <c r="BM83" i="14"/>
  <c r="BL83" i="14"/>
  <c r="BK83" i="14"/>
  <c r="BI83" i="14"/>
  <c r="BH83" i="14"/>
  <c r="BG83" i="14"/>
  <c r="BF83" i="14"/>
  <c r="BE83" i="14"/>
  <c r="BA83" i="14"/>
  <c r="AY83" i="14"/>
  <c r="AX83" i="14"/>
  <c r="AW83" i="14"/>
  <c r="AV83" i="14"/>
  <c r="AR83" i="14"/>
  <c r="AP83" i="14"/>
  <c r="AO83" i="14"/>
  <c r="AN83" i="14"/>
  <c r="AM83" i="14"/>
  <c r="AI83" i="14"/>
  <c r="AG83" i="14"/>
  <c r="AF83" i="14"/>
  <c r="AD83" i="14"/>
  <c r="AA83" i="14"/>
  <c r="AE83" i="14" s="1"/>
  <c r="Z83" i="14"/>
  <c r="V83" i="14"/>
  <c r="AI84" i="14" s="1"/>
  <c r="J83" i="14"/>
  <c r="V84" i="14" s="1"/>
  <c r="B83" i="14"/>
  <c r="BP82" i="14"/>
  <c r="BO82" i="14"/>
  <c r="BN82" i="14"/>
  <c r="BM82" i="14"/>
  <c r="BL82" i="14"/>
  <c r="BK82" i="14"/>
  <c r="BI82" i="14"/>
  <c r="BH82" i="14"/>
  <c r="BG82" i="14"/>
  <c r="BF82" i="14"/>
  <c r="BE82" i="14"/>
  <c r="BA82" i="14"/>
  <c r="AY82" i="14"/>
  <c r="AX82" i="14"/>
  <c r="AW82" i="14"/>
  <c r="AV82" i="14"/>
  <c r="AR82" i="14"/>
  <c r="AP82" i="14"/>
  <c r="AO82" i="14"/>
  <c r="AN82" i="14"/>
  <c r="AM82" i="14"/>
  <c r="AI82" i="14"/>
  <c r="AG82" i="14"/>
  <c r="AF82" i="14"/>
  <c r="AD82" i="14"/>
  <c r="AA82" i="14"/>
  <c r="AE82" i="14" s="1"/>
  <c r="Z82" i="14"/>
  <c r="V82" i="14"/>
  <c r="B82" i="14"/>
  <c r="BP81" i="14"/>
  <c r="BN81" i="14"/>
  <c r="BL81" i="14"/>
  <c r="BH81" i="14"/>
  <c r="BG81" i="14"/>
  <c r="BF81" i="14"/>
  <c r="BA81" i="14"/>
  <c r="AZ81" i="14"/>
  <c r="BO81" i="14" s="1"/>
  <c r="AY81" i="14"/>
  <c r="AX81" i="14"/>
  <c r="AW81" i="14"/>
  <c r="AR81" i="14"/>
  <c r="AQ81" i="14"/>
  <c r="AV81" i="14" s="1"/>
  <c r="AP81" i="14"/>
  <c r="AO81" i="14"/>
  <c r="AN81" i="14"/>
  <c r="AM81" i="14"/>
  <c r="AI81" i="14"/>
  <c r="AH81" i="14"/>
  <c r="BK81" i="14" s="1"/>
  <c r="AG81" i="14"/>
  <c r="AF81" i="14"/>
  <c r="AA81" i="14"/>
  <c r="Y81" i="14" s="1"/>
  <c r="Z81" i="14"/>
  <c r="V81" i="14"/>
  <c r="B81" i="14"/>
  <c r="BP80" i="14"/>
  <c r="BO80" i="14"/>
  <c r="BN80" i="14"/>
  <c r="BM80" i="14"/>
  <c r="BL80" i="14"/>
  <c r="BK80" i="14"/>
  <c r="BJ80" i="14"/>
  <c r="BI80" i="14"/>
  <c r="BH80" i="14"/>
  <c r="BG80" i="14"/>
  <c r="BF80" i="14"/>
  <c r="BE80" i="14"/>
  <c r="BA80" i="14"/>
  <c r="AY80" i="14"/>
  <c r="AX80" i="14"/>
  <c r="AW80" i="14"/>
  <c r="AV80" i="14"/>
  <c r="AR80" i="14"/>
  <c r="AP80" i="14"/>
  <c r="AO80" i="14"/>
  <c r="AN80" i="14"/>
  <c r="AM80" i="14"/>
  <c r="AI80" i="14"/>
  <c r="AG80" i="14"/>
  <c r="AF80" i="14"/>
  <c r="AE80" i="14"/>
  <c r="AD80" i="14"/>
  <c r="Z80" i="14"/>
  <c r="V80" i="14"/>
  <c r="B80" i="14"/>
  <c r="BP79" i="14"/>
  <c r="BN79" i="14"/>
  <c r="BL79" i="14"/>
  <c r="BI79" i="14"/>
  <c r="BH79" i="14"/>
  <c r="BG79" i="14"/>
  <c r="BF79" i="14"/>
  <c r="BA79" i="14"/>
  <c r="AZ79" i="14"/>
  <c r="BO79" i="14" s="1"/>
  <c r="AY79" i="14"/>
  <c r="AX79" i="14"/>
  <c r="AW79" i="14"/>
  <c r="AR79" i="14"/>
  <c r="AQ79" i="14"/>
  <c r="AV79" i="14" s="1"/>
  <c r="AP79" i="14"/>
  <c r="AO79" i="14"/>
  <c r="AN79" i="14"/>
  <c r="AI79" i="14"/>
  <c r="AH79" i="14"/>
  <c r="BK79" i="14" s="1"/>
  <c r="AG79" i="14"/>
  <c r="AF79" i="14"/>
  <c r="AD79" i="14"/>
  <c r="AA79" i="14"/>
  <c r="BJ79" i="14" s="1"/>
  <c r="Z79" i="14"/>
  <c r="V79" i="14"/>
  <c r="B79" i="14"/>
  <c r="BP78" i="14"/>
  <c r="BO78" i="14"/>
  <c r="BN78" i="14"/>
  <c r="BL78" i="14"/>
  <c r="BJ78" i="14"/>
  <c r="BH78" i="14"/>
  <c r="BG78" i="14"/>
  <c r="BF78" i="14"/>
  <c r="BE78" i="14"/>
  <c r="BA78" i="14"/>
  <c r="AZ78" i="14"/>
  <c r="AY78" i="14"/>
  <c r="AX78" i="14"/>
  <c r="AW78" i="14"/>
  <c r="AR78" i="14"/>
  <c r="AQ78" i="14"/>
  <c r="BM78" i="14" s="1"/>
  <c r="AP78" i="14"/>
  <c r="AO78" i="14"/>
  <c r="AN78" i="14"/>
  <c r="AI78" i="14"/>
  <c r="AH78" i="14"/>
  <c r="BK78" i="14" s="1"/>
  <c r="AG78" i="14"/>
  <c r="AF78" i="14"/>
  <c r="AE78" i="14"/>
  <c r="AD78" i="14"/>
  <c r="Z78" i="14"/>
  <c r="Y78" i="14"/>
  <c r="BI78" i="14" s="1"/>
  <c r="V78" i="14"/>
  <c r="K78" i="14"/>
  <c r="B78" i="14"/>
  <c r="BP77" i="14"/>
  <c r="BO77" i="14"/>
  <c r="BN77" i="14"/>
  <c r="BM77" i="14"/>
  <c r="BL77" i="14"/>
  <c r="BK77" i="14"/>
  <c r="BJ77" i="14"/>
  <c r="BI77" i="14"/>
  <c r="BH77" i="14"/>
  <c r="BG77" i="14"/>
  <c r="BF77" i="14"/>
  <c r="BE77" i="14"/>
  <c r="AY77" i="14"/>
  <c r="AX77" i="14"/>
  <c r="AW77" i="14"/>
  <c r="AV77" i="14"/>
  <c r="AP77" i="14"/>
  <c r="AO77" i="14"/>
  <c r="AN77" i="14"/>
  <c r="AM77" i="14"/>
  <c r="AI77" i="14"/>
  <c r="AG77" i="14"/>
  <c r="AF77" i="14"/>
  <c r="AE77" i="14"/>
  <c r="AD77" i="14"/>
  <c r="Z77" i="14"/>
  <c r="V77" i="14"/>
  <c r="B77" i="14"/>
  <c r="BP76" i="14"/>
  <c r="BO76" i="14"/>
  <c r="BN76" i="14"/>
  <c r="BM76" i="14"/>
  <c r="BL76" i="14"/>
  <c r="BK76" i="14"/>
  <c r="BJ76" i="14"/>
  <c r="BI76" i="14"/>
  <c r="BH76" i="14"/>
  <c r="BG76" i="14"/>
  <c r="BF76" i="14"/>
  <c r="BE76" i="14"/>
  <c r="BA76" i="14"/>
  <c r="AY76" i="14"/>
  <c r="AX76" i="14"/>
  <c r="AW76" i="14"/>
  <c r="AV76" i="14"/>
  <c r="AR76" i="14"/>
  <c r="AP76" i="14"/>
  <c r="AO76" i="14"/>
  <c r="AN76" i="14"/>
  <c r="AM76" i="14"/>
  <c r="AI76" i="14"/>
  <c r="AG76" i="14"/>
  <c r="AF76" i="14"/>
  <c r="AE76" i="14"/>
  <c r="AD76" i="14"/>
  <c r="Z76" i="14"/>
  <c r="V76" i="14"/>
  <c r="BA77" i="14" s="1"/>
  <c r="B76" i="14"/>
  <c r="BP75" i="14"/>
  <c r="BO75" i="14"/>
  <c r="BN75" i="14"/>
  <c r="BM75" i="14"/>
  <c r="BL75" i="14"/>
  <c r="BK75" i="14"/>
  <c r="BJ75" i="14"/>
  <c r="BI75" i="14"/>
  <c r="BH75" i="14"/>
  <c r="BG75" i="14"/>
  <c r="BF75" i="14"/>
  <c r="BE75" i="14"/>
  <c r="BA75" i="14"/>
  <c r="AY75" i="14"/>
  <c r="AX75" i="14"/>
  <c r="AW75" i="14"/>
  <c r="AV75" i="14"/>
  <c r="AR75" i="14"/>
  <c r="AP75" i="14"/>
  <c r="AO75" i="14"/>
  <c r="AN75" i="14"/>
  <c r="AM75" i="14"/>
  <c r="AI75" i="14"/>
  <c r="AG75" i="14"/>
  <c r="AF75" i="14"/>
  <c r="AE75" i="14"/>
  <c r="AD75" i="14"/>
  <c r="Z75" i="14"/>
  <c r="V75" i="14"/>
  <c r="B75" i="14"/>
  <c r="BP74" i="14"/>
  <c r="BO74" i="14"/>
  <c r="BN74" i="14"/>
  <c r="BM74" i="14"/>
  <c r="BL74" i="14"/>
  <c r="BK74" i="14"/>
  <c r="BJ74" i="14"/>
  <c r="BI74" i="14"/>
  <c r="BH74" i="14"/>
  <c r="BG74" i="14"/>
  <c r="BF74" i="14"/>
  <c r="BE74" i="14"/>
  <c r="BA74" i="14"/>
  <c r="AY74" i="14"/>
  <c r="AX74" i="14"/>
  <c r="AW74" i="14"/>
  <c r="AV74" i="14"/>
  <c r="AR74" i="14"/>
  <c r="AP74" i="14"/>
  <c r="AO74" i="14"/>
  <c r="AN74" i="14"/>
  <c r="AM74" i="14"/>
  <c r="AI74" i="14"/>
  <c r="AG74" i="14"/>
  <c r="AF74" i="14"/>
  <c r="AE74" i="14"/>
  <c r="AD74" i="14"/>
  <c r="Z74" i="14"/>
  <c r="V74" i="14"/>
  <c r="B74" i="14"/>
  <c r="BP73" i="14"/>
  <c r="BO73" i="14"/>
  <c r="BN73" i="14"/>
  <c r="BM73" i="14"/>
  <c r="BL73" i="14"/>
  <c r="BK73" i="14"/>
  <c r="BJ73" i="14"/>
  <c r="BI73" i="14"/>
  <c r="BH73" i="14"/>
  <c r="BG73" i="14"/>
  <c r="BF73" i="14"/>
  <c r="BE73" i="14"/>
  <c r="BA73" i="14"/>
  <c r="AY73" i="14"/>
  <c r="AX73" i="14"/>
  <c r="AW73" i="14"/>
  <c r="AV73" i="14"/>
  <c r="AR73" i="14"/>
  <c r="AP73" i="14"/>
  <c r="AO73" i="14"/>
  <c r="AN73" i="14"/>
  <c r="AM73" i="14"/>
  <c r="AI73" i="14"/>
  <c r="AG73" i="14"/>
  <c r="AF73" i="14"/>
  <c r="AE73" i="14"/>
  <c r="AD73" i="14"/>
  <c r="Z73" i="14"/>
  <c r="V73" i="14"/>
  <c r="B73" i="14"/>
  <c r="BP72" i="14"/>
  <c r="BO72" i="14"/>
  <c r="BN72" i="14"/>
  <c r="BM72" i="14"/>
  <c r="BL72" i="14"/>
  <c r="BK72" i="14"/>
  <c r="BI72" i="14"/>
  <c r="BH72" i="14"/>
  <c r="BG72" i="14"/>
  <c r="BF72" i="14"/>
  <c r="BE72" i="14"/>
  <c r="BA72" i="14"/>
  <c r="AX72" i="14"/>
  <c r="AW72" i="14"/>
  <c r="AV72" i="14"/>
  <c r="AR72" i="14"/>
  <c r="AO72" i="14"/>
  <c r="AN72" i="14"/>
  <c r="AM72" i="14"/>
  <c r="AI72" i="14"/>
  <c r="AG72" i="14"/>
  <c r="AF72" i="14"/>
  <c r="AD72" i="14"/>
  <c r="AA72" i="14"/>
  <c r="BJ72" i="14" s="1"/>
  <c r="Z72" i="14"/>
  <c r="W72" i="14"/>
  <c r="AY72" i="14" s="1"/>
  <c r="V72" i="14"/>
  <c r="K72" i="14"/>
  <c r="B72" i="14"/>
  <c r="BP71" i="14"/>
  <c r="BO71" i="14"/>
  <c r="BN71" i="14"/>
  <c r="BM71" i="14"/>
  <c r="BL71" i="14"/>
  <c r="BK71" i="14"/>
  <c r="BI71" i="14"/>
  <c r="BH71" i="14"/>
  <c r="BG71" i="14"/>
  <c r="BF71" i="14"/>
  <c r="BE71" i="14"/>
  <c r="BA71" i="14"/>
  <c r="AX71" i="14"/>
  <c r="AW71" i="14"/>
  <c r="AV71" i="14"/>
  <c r="AR71" i="14"/>
  <c r="AP71" i="14"/>
  <c r="AO71" i="14"/>
  <c r="AN71" i="14"/>
  <c r="AM71" i="14"/>
  <c r="AI71" i="14"/>
  <c r="AF71" i="14"/>
  <c r="AD71" i="14"/>
  <c r="Z71" i="14"/>
  <c r="W71" i="14"/>
  <c r="AA71" i="14" s="1"/>
  <c r="V71" i="14"/>
  <c r="B71" i="14"/>
  <c r="BP70" i="14"/>
  <c r="BO70" i="14"/>
  <c r="BN70" i="14"/>
  <c r="BM70" i="14"/>
  <c r="BL70" i="14"/>
  <c r="BK70" i="14"/>
  <c r="BJ70" i="14"/>
  <c r="BI70" i="14"/>
  <c r="BH70" i="14"/>
  <c r="BG70" i="14"/>
  <c r="BF70" i="14"/>
  <c r="BE70" i="14"/>
  <c r="BA70" i="14"/>
  <c r="AY70" i="14"/>
  <c r="AX70" i="14"/>
  <c r="AW70" i="14"/>
  <c r="AV70" i="14"/>
  <c r="AR70" i="14"/>
  <c r="AP70" i="14"/>
  <c r="AO70" i="14"/>
  <c r="AN70" i="14"/>
  <c r="AM70" i="14"/>
  <c r="AI70" i="14"/>
  <c r="AG70" i="14"/>
  <c r="AF70" i="14"/>
  <c r="AE70" i="14"/>
  <c r="AD70" i="14"/>
  <c r="Z70" i="14"/>
  <c r="V70" i="14"/>
  <c r="B70" i="14"/>
  <c r="BP69" i="14"/>
  <c r="BO69" i="14"/>
  <c r="BN69" i="14"/>
  <c r="BM69" i="14"/>
  <c r="BL69" i="14"/>
  <c r="BK69" i="14"/>
  <c r="BJ69" i="14"/>
  <c r="BI69" i="14"/>
  <c r="BH69" i="14"/>
  <c r="BG69" i="14"/>
  <c r="BF69" i="14"/>
  <c r="BE69" i="14"/>
  <c r="BA69" i="14"/>
  <c r="AY69" i="14"/>
  <c r="AX69" i="14"/>
  <c r="AW69" i="14"/>
  <c r="AV69" i="14"/>
  <c r="AR69" i="14"/>
  <c r="AP69" i="14"/>
  <c r="AO69" i="14"/>
  <c r="AN69" i="14"/>
  <c r="AM69" i="14"/>
  <c r="AI69" i="14"/>
  <c r="AG69" i="14"/>
  <c r="AF69" i="14"/>
  <c r="AE69" i="14"/>
  <c r="AD69" i="14"/>
  <c r="Z69" i="14"/>
  <c r="V69" i="14"/>
  <c r="B69" i="14"/>
  <c r="BP68" i="14"/>
  <c r="BO68" i="14"/>
  <c r="BN68" i="14"/>
  <c r="BM68" i="14"/>
  <c r="BL68" i="14"/>
  <c r="BK68" i="14"/>
  <c r="BJ68" i="14"/>
  <c r="BI68" i="14"/>
  <c r="BG68" i="14"/>
  <c r="BF68" i="14"/>
  <c r="BE68" i="14"/>
  <c r="BA68" i="14"/>
  <c r="AX68" i="14"/>
  <c r="AW68" i="14"/>
  <c r="AV68" i="14"/>
  <c r="AR68" i="14"/>
  <c r="AO68" i="14"/>
  <c r="AN68" i="14"/>
  <c r="AM68" i="14"/>
  <c r="AI68" i="14"/>
  <c r="AF68" i="14"/>
  <c r="AE68" i="14"/>
  <c r="AD68" i="14"/>
  <c r="Z68" i="14"/>
  <c r="W68" i="14"/>
  <c r="AG68" i="14" s="1"/>
  <c r="V68" i="14"/>
  <c r="B68" i="14"/>
  <c r="BP67" i="14"/>
  <c r="BO67" i="14"/>
  <c r="BN67" i="14"/>
  <c r="BM67" i="14"/>
  <c r="BL67" i="14"/>
  <c r="BK67" i="14"/>
  <c r="BI67" i="14"/>
  <c r="BG67" i="14"/>
  <c r="BF67" i="14"/>
  <c r="BE67" i="14"/>
  <c r="BA67" i="14"/>
  <c r="AX67" i="14"/>
  <c r="AW67" i="14"/>
  <c r="AV67" i="14"/>
  <c r="AR67" i="14"/>
  <c r="AO67" i="14"/>
  <c r="AN67" i="14"/>
  <c r="AM67" i="14"/>
  <c r="AI67" i="14"/>
  <c r="AF67" i="14"/>
  <c r="AD67" i="14"/>
  <c r="Z67" i="14"/>
  <c r="W67" i="14"/>
  <c r="BH67" i="14" s="1"/>
  <c r="V67" i="14"/>
  <c r="B67" i="14"/>
  <c r="BP66" i="14"/>
  <c r="BO66" i="14"/>
  <c r="BN66" i="14"/>
  <c r="BM66" i="14"/>
  <c r="BL66" i="14"/>
  <c r="BK66" i="14"/>
  <c r="BI66" i="14"/>
  <c r="BG66" i="14"/>
  <c r="BF66" i="14"/>
  <c r="BE66" i="14"/>
  <c r="BA66" i="14"/>
  <c r="AX66" i="14"/>
  <c r="AW66" i="14"/>
  <c r="AV66" i="14"/>
  <c r="AR66" i="14"/>
  <c r="AO66" i="14"/>
  <c r="AN66" i="14"/>
  <c r="AM66" i="14"/>
  <c r="AI66" i="14"/>
  <c r="AF66" i="14"/>
  <c r="AD66" i="14"/>
  <c r="Z66" i="14"/>
  <c r="V66" i="14"/>
  <c r="K66" i="14"/>
  <c r="W66" i="14" s="1"/>
  <c r="B66" i="14"/>
  <c r="BP65" i="14"/>
  <c r="BO65" i="14"/>
  <c r="BN65" i="14"/>
  <c r="BM65" i="14"/>
  <c r="BL65" i="14"/>
  <c r="BK65" i="14"/>
  <c r="BJ65" i="14"/>
  <c r="BI65" i="14"/>
  <c r="BH65" i="14"/>
  <c r="BG65" i="14"/>
  <c r="BF65" i="14"/>
  <c r="BE65" i="14"/>
  <c r="BA65" i="14"/>
  <c r="AY65" i="14"/>
  <c r="AX65" i="14"/>
  <c r="AW65" i="14"/>
  <c r="AV65" i="14"/>
  <c r="AR65" i="14"/>
  <c r="AP65" i="14"/>
  <c r="AO65" i="14"/>
  <c r="AN65" i="14"/>
  <c r="AM65" i="14"/>
  <c r="AI65" i="14"/>
  <c r="AG65" i="14"/>
  <c r="AF65" i="14"/>
  <c r="AE65" i="14"/>
  <c r="AD65" i="14"/>
  <c r="Z65" i="14"/>
  <c r="V65" i="14"/>
  <c r="B65" i="14"/>
  <c r="BP64" i="14"/>
  <c r="BO64" i="14"/>
  <c r="BN64" i="14"/>
  <c r="BM64" i="14"/>
  <c r="BL64" i="14"/>
  <c r="BK64" i="14"/>
  <c r="BJ64" i="14"/>
  <c r="BI64" i="14"/>
  <c r="BH64" i="14"/>
  <c r="BG64" i="14"/>
  <c r="BF64" i="14"/>
  <c r="BE64" i="14"/>
  <c r="BA64" i="14"/>
  <c r="AY64" i="14"/>
  <c r="AX64" i="14"/>
  <c r="AW64" i="14"/>
  <c r="AV64" i="14"/>
  <c r="AR64" i="14"/>
  <c r="AP64" i="14"/>
  <c r="AO64" i="14"/>
  <c r="AN64" i="14"/>
  <c r="AM64" i="14"/>
  <c r="AI64" i="14"/>
  <c r="AG64" i="14"/>
  <c r="AF64" i="14"/>
  <c r="AE64" i="14"/>
  <c r="AD64" i="14"/>
  <c r="Z64" i="14"/>
  <c r="V64" i="14"/>
  <c r="B64" i="14"/>
  <c r="BP63" i="14"/>
  <c r="BO63" i="14"/>
  <c r="BN63" i="14"/>
  <c r="BM63" i="14"/>
  <c r="BL63" i="14"/>
  <c r="BK63" i="14"/>
  <c r="BJ63" i="14"/>
  <c r="BI63" i="14"/>
  <c r="BH63" i="14"/>
  <c r="BG63" i="14"/>
  <c r="BF63" i="14"/>
  <c r="BE63" i="14"/>
  <c r="BA63" i="14"/>
  <c r="AY63" i="14"/>
  <c r="AX63" i="14"/>
  <c r="AW63" i="14"/>
  <c r="AV63" i="14"/>
  <c r="AR63" i="14"/>
  <c r="AP63" i="14"/>
  <c r="AO63" i="14"/>
  <c r="AN63" i="14"/>
  <c r="AM63" i="14"/>
  <c r="AI63" i="14"/>
  <c r="AG63" i="14"/>
  <c r="AF63" i="14"/>
  <c r="AE63" i="14"/>
  <c r="AD63" i="14"/>
  <c r="Z63" i="14"/>
  <c r="V63" i="14"/>
  <c r="B63" i="14"/>
  <c r="BP62" i="14"/>
  <c r="BO62" i="14"/>
  <c r="BN62" i="14"/>
  <c r="BM62" i="14"/>
  <c r="BL62" i="14"/>
  <c r="BK62" i="14"/>
  <c r="BJ62" i="14"/>
  <c r="BI62" i="14"/>
  <c r="BG62" i="14"/>
  <c r="BF62" i="14"/>
  <c r="BE62" i="14"/>
  <c r="BA62" i="14"/>
  <c r="AX62" i="14"/>
  <c r="AW62" i="14"/>
  <c r="AV62" i="14"/>
  <c r="AR62" i="14"/>
  <c r="AO62" i="14"/>
  <c r="AN62" i="14"/>
  <c r="AM62" i="14"/>
  <c r="AI62" i="14"/>
  <c r="AF62" i="14"/>
  <c r="AE62" i="14"/>
  <c r="AD62" i="14"/>
  <c r="Z62" i="14"/>
  <c r="W62" i="14"/>
  <c r="AY62" i="14" s="1"/>
  <c r="V62" i="14"/>
  <c r="B62" i="14"/>
  <c r="BP61" i="14"/>
  <c r="BO61" i="14"/>
  <c r="BN61" i="14"/>
  <c r="BM61" i="14"/>
  <c r="BL61" i="14"/>
  <c r="BK61" i="14"/>
  <c r="BJ61" i="14"/>
  <c r="BI61" i="14"/>
  <c r="BH61" i="14"/>
  <c r="BG61" i="14"/>
  <c r="BF61" i="14"/>
  <c r="BE61" i="14"/>
  <c r="BA61" i="14"/>
  <c r="AY61" i="14"/>
  <c r="AX61" i="14"/>
  <c r="AW61" i="14"/>
  <c r="AV61" i="14"/>
  <c r="AR61" i="14"/>
  <c r="AP61" i="14"/>
  <c r="AO61" i="14"/>
  <c r="AN61" i="14"/>
  <c r="AM61" i="14"/>
  <c r="AI61" i="14"/>
  <c r="AG61" i="14"/>
  <c r="AF61" i="14"/>
  <c r="AE61" i="14"/>
  <c r="AD61" i="14"/>
  <c r="Z61" i="14"/>
  <c r="V61" i="14"/>
  <c r="B61" i="14"/>
  <c r="BP60" i="14"/>
  <c r="BO60" i="14"/>
  <c r="BN60" i="14"/>
  <c r="BM60" i="14"/>
  <c r="BL60" i="14"/>
  <c r="BK60" i="14"/>
  <c r="BJ60" i="14"/>
  <c r="BI60" i="14"/>
  <c r="BH60" i="14"/>
  <c r="BG60" i="14"/>
  <c r="BF60" i="14"/>
  <c r="BE60" i="14"/>
  <c r="BA60" i="14"/>
  <c r="AY60" i="14"/>
  <c r="AX60" i="14"/>
  <c r="AW60" i="14"/>
  <c r="AV60" i="14"/>
  <c r="AR60" i="14"/>
  <c r="AP60" i="14"/>
  <c r="AO60" i="14"/>
  <c r="AN60" i="14"/>
  <c r="AM60" i="14"/>
  <c r="AI60" i="14"/>
  <c r="AG60" i="14"/>
  <c r="AF60" i="14"/>
  <c r="AE60" i="14"/>
  <c r="AD60" i="14"/>
  <c r="Z60" i="14"/>
  <c r="V60" i="14"/>
  <c r="B60" i="14"/>
  <c r="BP59" i="14"/>
  <c r="BO59" i="14"/>
  <c r="BN59" i="14"/>
  <c r="BM59" i="14"/>
  <c r="BL59" i="14"/>
  <c r="BK59" i="14"/>
  <c r="BJ59" i="14"/>
  <c r="BI59" i="14"/>
  <c r="BH59" i="14"/>
  <c r="BG59" i="14"/>
  <c r="BF59" i="14"/>
  <c r="BE59" i="14"/>
  <c r="BA59" i="14"/>
  <c r="AY59" i="14"/>
  <c r="AX59" i="14"/>
  <c r="AW59" i="14"/>
  <c r="AV59" i="14"/>
  <c r="AR59" i="14"/>
  <c r="AP59" i="14"/>
  <c r="AO59" i="14"/>
  <c r="AN59" i="14"/>
  <c r="AM59" i="14"/>
  <c r="AI59" i="14"/>
  <c r="AG59" i="14"/>
  <c r="AF59" i="14"/>
  <c r="AE59" i="14"/>
  <c r="AD59" i="14"/>
  <c r="Z59" i="14"/>
  <c r="V59" i="14"/>
  <c r="B59" i="14"/>
  <c r="BP58" i="14"/>
  <c r="BO58" i="14"/>
  <c r="BN58" i="14"/>
  <c r="BM58" i="14"/>
  <c r="BL58" i="14"/>
  <c r="BK58" i="14"/>
  <c r="BJ58" i="14"/>
  <c r="BI58" i="14"/>
  <c r="BH58" i="14"/>
  <c r="BG58" i="14"/>
  <c r="BF58" i="14"/>
  <c r="BE58" i="14"/>
  <c r="BA58" i="14"/>
  <c r="AY58" i="14"/>
  <c r="AX58" i="14"/>
  <c r="AW58" i="14"/>
  <c r="AV58" i="14"/>
  <c r="AR58" i="14"/>
  <c r="AP58" i="14"/>
  <c r="AO58" i="14"/>
  <c r="AN58" i="14"/>
  <c r="AM58" i="14"/>
  <c r="AI58" i="14"/>
  <c r="AG58" i="14"/>
  <c r="AF58" i="14"/>
  <c r="AE58" i="14"/>
  <c r="AD58" i="14"/>
  <c r="Z58" i="14"/>
  <c r="V58" i="14"/>
  <c r="B58" i="14"/>
  <c r="BP57" i="14"/>
  <c r="BO57" i="14"/>
  <c r="BN57" i="14"/>
  <c r="BM57" i="14"/>
  <c r="BL57" i="14"/>
  <c r="BK57" i="14"/>
  <c r="BJ57" i="14"/>
  <c r="BI57" i="14"/>
  <c r="BH57" i="14"/>
  <c r="BF57" i="14"/>
  <c r="BE57" i="14"/>
  <c r="BA57" i="14"/>
  <c r="AY57" i="14"/>
  <c r="AW57" i="14"/>
  <c r="AV57" i="14"/>
  <c r="AR57" i="14"/>
  <c r="AP57" i="14"/>
  <c r="AN57" i="14"/>
  <c r="AM57" i="14"/>
  <c r="AI57" i="14"/>
  <c r="AG57" i="14"/>
  <c r="AE57" i="14"/>
  <c r="AD57" i="14"/>
  <c r="Z57" i="14"/>
  <c r="V57" i="14"/>
  <c r="U57" i="14"/>
  <c r="AX57" i="14" s="1"/>
  <c r="B57" i="14"/>
  <c r="BP56" i="14"/>
  <c r="BO56" i="14"/>
  <c r="BN56" i="14"/>
  <c r="BM56" i="14"/>
  <c r="BL56" i="14"/>
  <c r="BK56" i="14"/>
  <c r="BJ56" i="14"/>
  <c r="BI56" i="14"/>
  <c r="BH56" i="14"/>
  <c r="BF56" i="14"/>
  <c r="BE56" i="14"/>
  <c r="BA56" i="14"/>
  <c r="AY56" i="14"/>
  <c r="AW56" i="14"/>
  <c r="AV56" i="14"/>
  <c r="AR56" i="14"/>
  <c r="AP56" i="14"/>
  <c r="AN56" i="14"/>
  <c r="AM56" i="14"/>
  <c r="AI56" i="14"/>
  <c r="AG56" i="14"/>
  <c r="AE56" i="14"/>
  <c r="AD56" i="14"/>
  <c r="Z56" i="14"/>
  <c r="V56" i="14"/>
  <c r="U56" i="14"/>
  <c r="BG56" i="14" s="1"/>
  <c r="B56" i="14"/>
  <c r="BP55" i="14"/>
  <c r="BO55" i="14"/>
  <c r="BN55" i="14"/>
  <c r="BM55" i="14"/>
  <c r="BL55" i="14"/>
  <c r="BK55" i="14"/>
  <c r="BJ55" i="14"/>
  <c r="BI55" i="14"/>
  <c r="BH55" i="14"/>
  <c r="BG55" i="14"/>
  <c r="BF55" i="14"/>
  <c r="BE55" i="14"/>
  <c r="BA55" i="14"/>
  <c r="AY55" i="14"/>
  <c r="AX55" i="14"/>
  <c r="AW55" i="14"/>
  <c r="AV55" i="14"/>
  <c r="AR55" i="14"/>
  <c r="AP55" i="14"/>
  <c r="AO55" i="14"/>
  <c r="AN55" i="14"/>
  <c r="AM55" i="14"/>
  <c r="AI55" i="14"/>
  <c r="AG55" i="14"/>
  <c r="AF55" i="14"/>
  <c r="AE55" i="14"/>
  <c r="AD55" i="14"/>
  <c r="Z55" i="14"/>
  <c r="V55" i="14"/>
  <c r="B55" i="14"/>
  <c r="BP54" i="14"/>
  <c r="BO54" i="14"/>
  <c r="BN54" i="14"/>
  <c r="BM54" i="14"/>
  <c r="BL54" i="14"/>
  <c r="BK54" i="14"/>
  <c r="BJ54" i="14"/>
  <c r="BI54" i="14"/>
  <c r="BH54" i="14"/>
  <c r="BG54" i="14"/>
  <c r="BF54" i="14"/>
  <c r="BE54" i="14"/>
  <c r="BA54" i="14"/>
  <c r="AY54" i="14"/>
  <c r="AX54" i="14"/>
  <c r="AW54" i="14"/>
  <c r="AV54" i="14"/>
  <c r="AR54" i="14"/>
  <c r="AP54" i="14"/>
  <c r="AO54" i="14"/>
  <c r="AN54" i="14"/>
  <c r="AM54" i="14"/>
  <c r="AI54" i="14"/>
  <c r="AG54" i="14"/>
  <c r="AF54" i="14"/>
  <c r="AE54" i="14"/>
  <c r="AD54" i="14"/>
  <c r="Z54" i="14"/>
  <c r="V54" i="14"/>
  <c r="B54" i="14"/>
  <c r="BP53" i="14"/>
  <c r="BO53" i="14"/>
  <c r="BN53" i="14"/>
  <c r="BM53" i="14"/>
  <c r="BL53" i="14"/>
  <c r="BK53" i="14"/>
  <c r="BJ53" i="14"/>
  <c r="BI53" i="14"/>
  <c r="BG53" i="14"/>
  <c r="BF53" i="14"/>
  <c r="BE53" i="14"/>
  <c r="BA53" i="14"/>
  <c r="AX53" i="14"/>
  <c r="AW53" i="14"/>
  <c r="AV53" i="14"/>
  <c r="AR53" i="14"/>
  <c r="AO53" i="14"/>
  <c r="AN53" i="14"/>
  <c r="AM53" i="14"/>
  <c r="AI53" i="14"/>
  <c r="AF53" i="14"/>
  <c r="AE53" i="14"/>
  <c r="AD53" i="14"/>
  <c r="Z53" i="14"/>
  <c r="W53" i="14"/>
  <c r="AY53" i="14" s="1"/>
  <c r="V53" i="14"/>
  <c r="B53" i="14"/>
  <c r="BP52" i="14"/>
  <c r="BO52" i="14"/>
  <c r="BN52" i="14"/>
  <c r="BM52" i="14"/>
  <c r="BL52" i="14"/>
  <c r="BK52" i="14"/>
  <c r="BJ52" i="14"/>
  <c r="BI52" i="14"/>
  <c r="BG52" i="14"/>
  <c r="BF52" i="14"/>
  <c r="BE52" i="14"/>
  <c r="BA52" i="14"/>
  <c r="AX52" i="14"/>
  <c r="AW52" i="14"/>
  <c r="AV52" i="14"/>
  <c r="AR52" i="14"/>
  <c r="AO52" i="14"/>
  <c r="AN52" i="14"/>
  <c r="AM52" i="14"/>
  <c r="AI52" i="14"/>
  <c r="AF52" i="14"/>
  <c r="AE52" i="14"/>
  <c r="AD52" i="14"/>
  <c r="Z52" i="14"/>
  <c r="W52" i="14"/>
  <c r="AY52" i="14" s="1"/>
  <c r="V52" i="14"/>
  <c r="B52" i="14"/>
  <c r="BP51" i="14"/>
  <c r="BO51" i="14"/>
  <c r="BN51" i="14"/>
  <c r="BM51" i="14"/>
  <c r="BL51" i="14"/>
  <c r="BK51" i="14"/>
  <c r="BJ51" i="14"/>
  <c r="BI51" i="14"/>
  <c r="BH51" i="14"/>
  <c r="BG51" i="14"/>
  <c r="BF51" i="14"/>
  <c r="BE51" i="14"/>
  <c r="BA51" i="14"/>
  <c r="AY51" i="14"/>
  <c r="AX51" i="14"/>
  <c r="AW51" i="14"/>
  <c r="AV51" i="14"/>
  <c r="AR51" i="14"/>
  <c r="AP51" i="14"/>
  <c r="AO51" i="14"/>
  <c r="AN51" i="14"/>
  <c r="AM51" i="14"/>
  <c r="AI51" i="14"/>
  <c r="AG51" i="14"/>
  <c r="AF51" i="14"/>
  <c r="AE51" i="14"/>
  <c r="AD51" i="14"/>
  <c r="Z51" i="14"/>
  <c r="V51" i="14"/>
  <c r="B51" i="14"/>
  <c r="BP50" i="14"/>
  <c r="BO50" i="14"/>
  <c r="BN50" i="14"/>
  <c r="BM50" i="14"/>
  <c r="BL50" i="14"/>
  <c r="BK50" i="14"/>
  <c r="BJ50" i="14"/>
  <c r="BI50" i="14"/>
  <c r="BH50" i="14"/>
  <c r="BG50" i="14"/>
  <c r="BF50" i="14"/>
  <c r="BE50" i="14"/>
  <c r="BA50" i="14"/>
  <c r="AY50" i="14"/>
  <c r="AW50" i="14"/>
  <c r="AV50" i="14"/>
  <c r="AR50" i="14"/>
  <c r="AP50" i="14"/>
  <c r="AN50" i="14"/>
  <c r="AM50" i="14"/>
  <c r="AI50" i="14"/>
  <c r="AG50" i="14"/>
  <c r="AE50" i="14"/>
  <c r="AD50" i="14"/>
  <c r="Z50" i="14"/>
  <c r="V50" i="14"/>
  <c r="U50" i="14"/>
  <c r="AO50" i="14" s="1"/>
  <c r="B50" i="14"/>
  <c r="BP49" i="14"/>
  <c r="BO49" i="14"/>
  <c r="BN49" i="14"/>
  <c r="BM49" i="14"/>
  <c r="BL49" i="14"/>
  <c r="BK49" i="14"/>
  <c r="BJ49" i="14"/>
  <c r="BI49" i="14"/>
  <c r="BH49" i="14"/>
  <c r="BF49" i="14"/>
  <c r="BE49" i="14"/>
  <c r="BA49" i="14"/>
  <c r="AY49" i="14"/>
  <c r="AW49" i="14"/>
  <c r="AV49" i="14"/>
  <c r="AR49" i="14"/>
  <c r="AP49" i="14"/>
  <c r="AN49" i="14"/>
  <c r="AM49" i="14"/>
  <c r="AI49" i="14"/>
  <c r="AG49" i="14"/>
  <c r="AE49" i="14"/>
  <c r="AD49" i="14"/>
  <c r="Z49" i="14"/>
  <c r="V49" i="14"/>
  <c r="U49" i="14"/>
  <c r="BG49" i="14" s="1"/>
  <c r="B49" i="14"/>
  <c r="BP48" i="14"/>
  <c r="BO48" i="14"/>
  <c r="BN48" i="14"/>
  <c r="BM48" i="14"/>
  <c r="BL48" i="14"/>
  <c r="BK48" i="14"/>
  <c r="BJ48" i="14"/>
  <c r="BI48" i="14"/>
  <c r="BH48" i="14"/>
  <c r="BG48" i="14"/>
  <c r="BF48" i="14"/>
  <c r="BE48" i="14"/>
  <c r="BA48" i="14"/>
  <c r="AY48" i="14"/>
  <c r="AX48" i="14"/>
  <c r="AW48" i="14"/>
  <c r="AV48" i="14"/>
  <c r="AR48" i="14"/>
  <c r="AP48" i="14"/>
  <c r="AO48" i="14"/>
  <c r="AN48" i="14"/>
  <c r="AM48" i="14"/>
  <c r="AI48" i="14"/>
  <c r="AG48" i="14"/>
  <c r="AF48" i="14"/>
  <c r="AE48" i="14"/>
  <c r="AD48" i="14"/>
  <c r="Z48" i="14"/>
  <c r="V48" i="14"/>
  <c r="U48" i="14"/>
  <c r="B48" i="14"/>
  <c r="BP47" i="14"/>
  <c r="BO47" i="14"/>
  <c r="BN47" i="14"/>
  <c r="BM47" i="14"/>
  <c r="BL47" i="14"/>
  <c r="BK47" i="14"/>
  <c r="BJ47" i="14"/>
  <c r="BI47" i="14"/>
  <c r="BG47" i="14"/>
  <c r="BF47" i="14"/>
  <c r="BE47" i="14"/>
  <c r="BA47" i="14"/>
  <c r="AW47" i="14"/>
  <c r="AV47" i="14"/>
  <c r="AR47" i="14"/>
  <c r="AN47" i="14"/>
  <c r="AM47" i="14"/>
  <c r="AI47" i="14"/>
  <c r="AE47" i="14"/>
  <c r="AD47" i="14"/>
  <c r="Z47" i="14"/>
  <c r="W47" i="14"/>
  <c r="AY47" i="14" s="1"/>
  <c r="V47" i="14"/>
  <c r="U47" i="14"/>
  <c r="AO47" i="14" s="1"/>
  <c r="B47" i="14"/>
  <c r="BP46" i="14"/>
  <c r="BO46" i="14"/>
  <c r="BN46" i="14"/>
  <c r="BM46" i="14"/>
  <c r="BL46" i="14"/>
  <c r="BK46" i="14"/>
  <c r="BJ46" i="14"/>
  <c r="BI46" i="14"/>
  <c r="BH46" i="14"/>
  <c r="BG46" i="14"/>
  <c r="BF46" i="14"/>
  <c r="BE46" i="14"/>
  <c r="BA46" i="14"/>
  <c r="AY46" i="14"/>
  <c r="AX46" i="14"/>
  <c r="AW46" i="14"/>
  <c r="AV46" i="14"/>
  <c r="AR46" i="14"/>
  <c r="AP46" i="14"/>
  <c r="AO46" i="14"/>
  <c r="AN46" i="14"/>
  <c r="AM46" i="14"/>
  <c r="AI46" i="14"/>
  <c r="AG46" i="14"/>
  <c r="AF46" i="14"/>
  <c r="AE46" i="14"/>
  <c r="AD46" i="14"/>
  <c r="Z46" i="14"/>
  <c r="V46" i="14"/>
  <c r="B46" i="14"/>
  <c r="BP45" i="14"/>
  <c r="BO45" i="14"/>
  <c r="BN45" i="14"/>
  <c r="BM45" i="14"/>
  <c r="BL45" i="14"/>
  <c r="BK45" i="14"/>
  <c r="BJ45" i="14"/>
  <c r="BI45" i="14"/>
  <c r="BH45" i="14"/>
  <c r="BG45" i="14"/>
  <c r="BF45" i="14"/>
  <c r="BE45" i="14"/>
  <c r="BA45" i="14"/>
  <c r="AY45" i="14"/>
  <c r="AX45" i="14"/>
  <c r="AW45" i="14"/>
  <c r="AV45" i="14"/>
  <c r="AR45" i="14"/>
  <c r="AP45" i="14"/>
  <c r="AO45" i="14"/>
  <c r="AN45" i="14"/>
  <c r="AM45" i="14"/>
  <c r="AI45" i="14"/>
  <c r="AG45" i="14"/>
  <c r="AF45" i="14"/>
  <c r="AE45" i="14"/>
  <c r="AD45" i="14"/>
  <c r="Z45" i="14"/>
  <c r="V45" i="14"/>
  <c r="B45" i="14"/>
  <c r="BP44" i="14"/>
  <c r="BO44" i="14"/>
  <c r="BN44" i="14"/>
  <c r="BM44" i="14"/>
  <c r="BL44" i="14"/>
  <c r="BK44" i="14"/>
  <c r="BJ44" i="14"/>
  <c r="BI44" i="14"/>
  <c r="BH44" i="14"/>
  <c r="BG44" i="14"/>
  <c r="BF44" i="14"/>
  <c r="BE44" i="14"/>
  <c r="BA44" i="14"/>
  <c r="AY44" i="14"/>
  <c r="AX44" i="14"/>
  <c r="AW44" i="14"/>
  <c r="AV44" i="14"/>
  <c r="AR44" i="14"/>
  <c r="AP44" i="14"/>
  <c r="AO44" i="14"/>
  <c r="AN44" i="14"/>
  <c r="AM44" i="14"/>
  <c r="AI44" i="14"/>
  <c r="AG44" i="14"/>
  <c r="AF44" i="14"/>
  <c r="AE44" i="14"/>
  <c r="AD44" i="14"/>
  <c r="Z44" i="14"/>
  <c r="V44" i="14"/>
  <c r="B44" i="14"/>
  <c r="BP43" i="14"/>
  <c r="BO43" i="14"/>
  <c r="BN43" i="14"/>
  <c r="BM43" i="14"/>
  <c r="BL43" i="14"/>
  <c r="BK43" i="14"/>
  <c r="BJ43" i="14"/>
  <c r="BI43" i="14"/>
  <c r="BH43" i="14"/>
  <c r="BG43" i="14"/>
  <c r="BF43" i="14"/>
  <c r="BE43" i="14"/>
  <c r="BA43" i="14"/>
  <c r="AY43" i="14"/>
  <c r="AX43" i="14"/>
  <c r="AW43" i="14"/>
  <c r="AV43" i="14"/>
  <c r="AR43" i="14"/>
  <c r="AP43" i="14"/>
  <c r="AO43" i="14"/>
  <c r="AN43" i="14"/>
  <c r="AM43" i="14"/>
  <c r="AI43" i="14"/>
  <c r="AG43" i="14"/>
  <c r="AF43" i="14"/>
  <c r="AE43" i="14"/>
  <c r="AD43" i="14"/>
  <c r="Z43" i="14"/>
  <c r="V43" i="14"/>
  <c r="B43" i="14"/>
  <c r="BP42" i="14"/>
  <c r="BO42" i="14"/>
  <c r="BN42" i="14"/>
  <c r="BM42" i="14"/>
  <c r="BL42" i="14"/>
  <c r="BK42" i="14"/>
  <c r="BJ42" i="14"/>
  <c r="BI42" i="14"/>
  <c r="BH42" i="14"/>
  <c r="BG42" i="14"/>
  <c r="BF42" i="14"/>
  <c r="BE42" i="14"/>
  <c r="BA42" i="14"/>
  <c r="AY42" i="14"/>
  <c r="AX42" i="14"/>
  <c r="AW42" i="14"/>
  <c r="AV42" i="14"/>
  <c r="AR42" i="14"/>
  <c r="AP42" i="14"/>
  <c r="AO42" i="14"/>
  <c r="AN42" i="14"/>
  <c r="AM42" i="14"/>
  <c r="AI42" i="14"/>
  <c r="AG42" i="14"/>
  <c r="AF42" i="14"/>
  <c r="AE42" i="14"/>
  <c r="AD42" i="14"/>
  <c r="Z42" i="14"/>
  <c r="V42" i="14"/>
  <c r="B42" i="14"/>
  <c r="BP41" i="14"/>
  <c r="BO41" i="14"/>
  <c r="BN41" i="14"/>
  <c r="BM41" i="14"/>
  <c r="BL41" i="14"/>
  <c r="BK41" i="14"/>
  <c r="BJ41" i="14"/>
  <c r="BI41" i="14"/>
  <c r="BH41" i="14"/>
  <c r="BF41" i="14"/>
  <c r="BE41" i="14"/>
  <c r="BA41" i="14"/>
  <c r="AY41" i="14"/>
  <c r="AW41" i="14"/>
  <c r="AV41" i="14"/>
  <c r="AR41" i="14"/>
  <c r="AP41" i="14"/>
  <c r="AN41" i="14"/>
  <c r="AM41" i="14"/>
  <c r="AI41" i="14"/>
  <c r="AG41" i="14"/>
  <c r="AE41" i="14"/>
  <c r="AD41" i="14"/>
  <c r="Z41" i="14"/>
  <c r="V41" i="14"/>
  <c r="U41" i="14"/>
  <c r="AX41" i="14" s="1"/>
  <c r="B41" i="14"/>
  <c r="BP40" i="14"/>
  <c r="BO40" i="14"/>
  <c r="BN40" i="14"/>
  <c r="BM40" i="14"/>
  <c r="BL40" i="14"/>
  <c r="BK40" i="14"/>
  <c r="BJ40" i="14"/>
  <c r="BI40" i="14"/>
  <c r="BH40" i="14"/>
  <c r="BG40" i="14"/>
  <c r="BF40" i="14"/>
  <c r="BE40" i="14"/>
  <c r="BA40" i="14"/>
  <c r="AY40" i="14"/>
  <c r="AX40" i="14"/>
  <c r="AW40" i="14"/>
  <c r="AV40" i="14"/>
  <c r="AR40" i="14"/>
  <c r="AP40" i="14"/>
  <c r="AO40" i="14"/>
  <c r="AN40" i="14"/>
  <c r="AM40" i="14"/>
  <c r="AI40" i="14"/>
  <c r="AG40" i="14"/>
  <c r="AF40" i="14"/>
  <c r="AE40" i="14"/>
  <c r="AD40" i="14"/>
  <c r="Z40" i="14"/>
  <c r="V40" i="14"/>
  <c r="B40" i="14"/>
  <c r="BP39" i="14"/>
  <c r="BO39" i="14"/>
  <c r="BN39" i="14"/>
  <c r="BM39" i="14"/>
  <c r="BL39" i="14"/>
  <c r="BK39" i="14"/>
  <c r="BJ39" i="14"/>
  <c r="BI39" i="14"/>
  <c r="BH39" i="14"/>
  <c r="BG39" i="14"/>
  <c r="BF39" i="14"/>
  <c r="BE39" i="14"/>
  <c r="BA39" i="14"/>
  <c r="AY39" i="14"/>
  <c r="AX39" i="14"/>
  <c r="AW39" i="14"/>
  <c r="AV39" i="14"/>
  <c r="AR39" i="14"/>
  <c r="AP39" i="14"/>
  <c r="AO39" i="14"/>
  <c r="AN39" i="14"/>
  <c r="AM39" i="14"/>
  <c r="AI39" i="14"/>
  <c r="AG39" i="14"/>
  <c r="AF39" i="14"/>
  <c r="AE39" i="14"/>
  <c r="AD39" i="14"/>
  <c r="Z39" i="14"/>
  <c r="V39" i="14"/>
  <c r="B39" i="14"/>
  <c r="BP38" i="14"/>
  <c r="BO38" i="14"/>
  <c r="BN38" i="14"/>
  <c r="BM38" i="14"/>
  <c r="BL38" i="14"/>
  <c r="BK38" i="14"/>
  <c r="BJ38" i="14"/>
  <c r="BI38" i="14"/>
  <c r="BH38" i="14"/>
  <c r="BG38" i="14"/>
  <c r="BF38" i="14"/>
  <c r="BE38" i="14"/>
  <c r="BA38" i="14"/>
  <c r="AY38" i="14"/>
  <c r="AX38" i="14"/>
  <c r="AW38" i="14"/>
  <c r="AV38" i="14"/>
  <c r="AR38" i="14"/>
  <c r="AP38" i="14"/>
  <c r="AO38" i="14"/>
  <c r="AN38" i="14"/>
  <c r="AM38" i="14"/>
  <c r="AI38" i="14"/>
  <c r="AG38" i="14"/>
  <c r="AF38" i="14"/>
  <c r="AE38" i="14"/>
  <c r="AD38" i="14"/>
  <c r="Z38" i="14"/>
  <c r="V38" i="14"/>
  <c r="B38" i="14"/>
  <c r="BP37" i="14"/>
  <c r="BO37" i="14"/>
  <c r="BN37" i="14"/>
  <c r="BM37" i="14"/>
  <c r="BL37" i="14"/>
  <c r="BK37" i="14"/>
  <c r="BJ37" i="14"/>
  <c r="BI37" i="14"/>
  <c r="BH37" i="14"/>
  <c r="BG37" i="14"/>
  <c r="BF37" i="14"/>
  <c r="BE37" i="14"/>
  <c r="BA37" i="14"/>
  <c r="AY37" i="14"/>
  <c r="AX37" i="14"/>
  <c r="AW37" i="14"/>
  <c r="AV37" i="14"/>
  <c r="AR37" i="14"/>
  <c r="AP37" i="14"/>
  <c r="AO37" i="14"/>
  <c r="AN37" i="14"/>
  <c r="AM37" i="14"/>
  <c r="AI37" i="14"/>
  <c r="AG37" i="14"/>
  <c r="AF37" i="14"/>
  <c r="AE37" i="14"/>
  <c r="AD37" i="14"/>
  <c r="Z37" i="14"/>
  <c r="V37" i="14"/>
  <c r="B37" i="14"/>
  <c r="BP36" i="14"/>
  <c r="BO36" i="14"/>
  <c r="BN36" i="14"/>
  <c r="BM36" i="14"/>
  <c r="BL36" i="14"/>
  <c r="BK36" i="14"/>
  <c r="BJ36" i="14"/>
  <c r="BI36" i="14"/>
  <c r="BH36" i="14"/>
  <c r="BG36" i="14"/>
  <c r="BF36" i="14"/>
  <c r="BE36" i="14"/>
  <c r="BA36" i="14"/>
  <c r="AY36" i="14"/>
  <c r="AX36" i="14"/>
  <c r="AW36" i="14"/>
  <c r="AV36" i="14"/>
  <c r="AR36" i="14"/>
  <c r="AP36" i="14"/>
  <c r="AO36" i="14"/>
  <c r="AN36" i="14"/>
  <c r="AM36" i="14"/>
  <c r="AI36" i="14"/>
  <c r="AG36" i="14"/>
  <c r="AF36" i="14"/>
  <c r="AE36" i="14"/>
  <c r="AD36" i="14"/>
  <c r="Z36" i="14"/>
  <c r="V36" i="14"/>
  <c r="B36" i="14"/>
  <c r="BP35" i="14"/>
  <c r="BO35" i="14"/>
  <c r="BN35" i="14"/>
  <c r="BM35" i="14"/>
  <c r="BL35" i="14"/>
  <c r="BK35" i="14"/>
  <c r="BJ35" i="14"/>
  <c r="BI35" i="14"/>
  <c r="BH35" i="14"/>
  <c r="BG35" i="14"/>
  <c r="BF35" i="14"/>
  <c r="BE35" i="14"/>
  <c r="BA35" i="14"/>
  <c r="AY35" i="14"/>
  <c r="AX35" i="14"/>
  <c r="AW35" i="14"/>
  <c r="AV35" i="14"/>
  <c r="AR35" i="14"/>
  <c r="AP35" i="14"/>
  <c r="AO35" i="14"/>
  <c r="AN35" i="14"/>
  <c r="AM35" i="14"/>
  <c r="AI35" i="14"/>
  <c r="AG35" i="14"/>
  <c r="AF35" i="14"/>
  <c r="AE35" i="14"/>
  <c r="AD35" i="14"/>
  <c r="Z35" i="14"/>
  <c r="V35" i="14"/>
  <c r="B35" i="14"/>
  <c r="BP34" i="14"/>
  <c r="BO34" i="14"/>
  <c r="BN34" i="14"/>
  <c r="BM34" i="14"/>
  <c r="BL34" i="14"/>
  <c r="BK34" i="14"/>
  <c r="BJ34" i="14"/>
  <c r="BI34" i="14"/>
  <c r="BH34" i="14"/>
  <c r="BG34" i="14"/>
  <c r="BF34" i="14"/>
  <c r="BE34" i="14"/>
  <c r="BA34" i="14"/>
  <c r="AY34" i="14"/>
  <c r="AX34" i="14"/>
  <c r="AW34" i="14"/>
  <c r="AV34" i="14"/>
  <c r="AR34" i="14"/>
  <c r="AP34" i="14"/>
  <c r="AO34" i="14"/>
  <c r="AN34" i="14"/>
  <c r="AM34" i="14"/>
  <c r="AI34" i="14"/>
  <c r="AG34" i="14"/>
  <c r="AF34" i="14"/>
  <c r="AE34" i="14"/>
  <c r="AD34" i="14"/>
  <c r="Z34" i="14"/>
  <c r="V34" i="14"/>
  <c r="B34" i="14"/>
  <c r="BP33" i="14"/>
  <c r="BO33" i="14"/>
  <c r="BN33" i="14"/>
  <c r="BM33" i="14"/>
  <c r="BL33" i="14"/>
  <c r="BK33" i="14"/>
  <c r="BJ33" i="14"/>
  <c r="BI33" i="14"/>
  <c r="BH33" i="14"/>
  <c r="BG33" i="14"/>
  <c r="BF33" i="14"/>
  <c r="BE33" i="14"/>
  <c r="BA33" i="14"/>
  <c r="AY33" i="14"/>
  <c r="AX33" i="14"/>
  <c r="AW33" i="14"/>
  <c r="AV33" i="14"/>
  <c r="AR33" i="14"/>
  <c r="AP33" i="14"/>
  <c r="AO33" i="14"/>
  <c r="AN33" i="14"/>
  <c r="AM33" i="14"/>
  <c r="AI33" i="14"/>
  <c r="AG33" i="14"/>
  <c r="AF33" i="14"/>
  <c r="AE33" i="14"/>
  <c r="AD33" i="14"/>
  <c r="Z33" i="14"/>
  <c r="V33" i="14"/>
  <c r="B33" i="14"/>
  <c r="BP32" i="14"/>
  <c r="BO32" i="14"/>
  <c r="BN32" i="14"/>
  <c r="BM32" i="14"/>
  <c r="BL32" i="14"/>
  <c r="BK32" i="14"/>
  <c r="BJ32" i="14"/>
  <c r="BI32" i="14"/>
  <c r="BH32" i="14"/>
  <c r="BG32" i="14"/>
  <c r="BF32" i="14"/>
  <c r="BE32" i="14"/>
  <c r="BA32" i="14"/>
  <c r="AY32" i="14"/>
  <c r="AX32" i="14"/>
  <c r="AW32" i="14"/>
  <c r="AV32" i="14"/>
  <c r="AR32" i="14"/>
  <c r="AP32" i="14"/>
  <c r="AO32" i="14"/>
  <c r="AN32" i="14"/>
  <c r="AM32" i="14"/>
  <c r="AI32" i="14"/>
  <c r="AG32" i="14"/>
  <c r="AF32" i="14"/>
  <c r="AE32" i="14"/>
  <c r="AD32" i="14"/>
  <c r="Z32" i="14"/>
  <c r="V32" i="14"/>
  <c r="B32" i="14"/>
  <c r="BP31" i="14"/>
  <c r="BO31" i="14"/>
  <c r="BN31" i="14"/>
  <c r="BM31" i="14"/>
  <c r="BL31" i="14"/>
  <c r="BK31" i="14"/>
  <c r="BJ31" i="14"/>
  <c r="BI31" i="14"/>
  <c r="BH31" i="14"/>
  <c r="BG31" i="14"/>
  <c r="BF31" i="14"/>
  <c r="BE31" i="14"/>
  <c r="BA31" i="14"/>
  <c r="AY31" i="14"/>
  <c r="AX31" i="14"/>
  <c r="AW31" i="14"/>
  <c r="AV31" i="14"/>
  <c r="AR31" i="14"/>
  <c r="AP31" i="14"/>
  <c r="AO31" i="14"/>
  <c r="AN31" i="14"/>
  <c r="AM31" i="14"/>
  <c r="AI31" i="14"/>
  <c r="AG31" i="14"/>
  <c r="AF31" i="14"/>
  <c r="AE31" i="14"/>
  <c r="AD31" i="14"/>
  <c r="Z31" i="14"/>
  <c r="V31" i="14"/>
  <c r="B31" i="14"/>
  <c r="BP30" i="14"/>
  <c r="BO30" i="14"/>
  <c r="BN30" i="14"/>
  <c r="BM30" i="14"/>
  <c r="BL30" i="14"/>
  <c r="BK30" i="14"/>
  <c r="BJ30" i="14"/>
  <c r="BI30" i="14"/>
  <c r="BH30" i="14"/>
  <c r="BG30" i="14"/>
  <c r="BF30" i="14"/>
  <c r="BE30" i="14"/>
  <c r="BA30" i="14"/>
  <c r="AY30" i="14"/>
  <c r="AX30" i="14"/>
  <c r="AW30" i="14"/>
  <c r="AV30" i="14"/>
  <c r="AR30" i="14"/>
  <c r="AP30" i="14"/>
  <c r="AO30" i="14"/>
  <c r="AN30" i="14"/>
  <c r="AM30" i="14"/>
  <c r="AI30" i="14"/>
  <c r="AG30" i="14"/>
  <c r="AF30" i="14"/>
  <c r="AE30" i="14"/>
  <c r="AD30" i="14"/>
  <c r="Z30" i="14"/>
  <c r="V30" i="14"/>
  <c r="B30" i="14"/>
  <c r="BP29" i="14"/>
  <c r="BO29" i="14"/>
  <c r="BN29" i="14"/>
  <c r="BM29" i="14"/>
  <c r="BL29" i="14"/>
  <c r="BK29" i="14"/>
  <c r="BJ29" i="14"/>
  <c r="BI29" i="14"/>
  <c r="BH29" i="14"/>
  <c r="BG29" i="14"/>
  <c r="BF29" i="14"/>
  <c r="BE29" i="14"/>
  <c r="BA29" i="14"/>
  <c r="AY29" i="14"/>
  <c r="AX29" i="14"/>
  <c r="AW29" i="14"/>
  <c r="AV29" i="14"/>
  <c r="AR29" i="14"/>
  <c r="AP29" i="14"/>
  <c r="AO29" i="14"/>
  <c r="AN29" i="14"/>
  <c r="AM29" i="14"/>
  <c r="AI29" i="14"/>
  <c r="AG29" i="14"/>
  <c r="AF29" i="14"/>
  <c r="AE29" i="14"/>
  <c r="AD29" i="14"/>
  <c r="Z29" i="14"/>
  <c r="V29" i="14"/>
  <c r="B29" i="14"/>
  <c r="BP28" i="14"/>
  <c r="BO28" i="14"/>
  <c r="BN28" i="14"/>
  <c r="BM28" i="14"/>
  <c r="BL28" i="14"/>
  <c r="BK28" i="14"/>
  <c r="BJ28" i="14"/>
  <c r="BI28" i="14"/>
  <c r="BH28" i="14"/>
  <c r="BG28" i="14"/>
  <c r="BF28" i="14"/>
  <c r="BE28" i="14"/>
  <c r="BA28" i="14"/>
  <c r="AY28" i="14"/>
  <c r="AX28" i="14"/>
  <c r="AW28" i="14"/>
  <c r="AV28" i="14"/>
  <c r="AR28" i="14"/>
  <c r="AP28" i="14"/>
  <c r="AO28" i="14"/>
  <c r="AN28" i="14"/>
  <c r="AM28" i="14"/>
  <c r="AI28" i="14"/>
  <c r="AG28" i="14"/>
  <c r="AF28" i="14"/>
  <c r="AE28" i="14"/>
  <c r="AD28" i="14"/>
  <c r="Z28" i="14"/>
  <c r="V28" i="14"/>
  <c r="B28" i="14"/>
  <c r="BP27" i="14"/>
  <c r="BO27" i="14"/>
  <c r="BN27" i="14"/>
  <c r="BM27" i="14"/>
  <c r="BL27" i="14"/>
  <c r="BK27" i="14"/>
  <c r="BJ27" i="14"/>
  <c r="BI27" i="14"/>
  <c r="BH27" i="14"/>
  <c r="BG27" i="14"/>
  <c r="BF27" i="14"/>
  <c r="BE27" i="14"/>
  <c r="BA27" i="14"/>
  <c r="AY27" i="14"/>
  <c r="AX27" i="14"/>
  <c r="AW27" i="14"/>
  <c r="AV27" i="14"/>
  <c r="AR27" i="14"/>
  <c r="AP27" i="14"/>
  <c r="AO27" i="14"/>
  <c r="AN27" i="14"/>
  <c r="AM27" i="14"/>
  <c r="AI27" i="14"/>
  <c r="AG27" i="14"/>
  <c r="AF27" i="14"/>
  <c r="AE27" i="14"/>
  <c r="AD27" i="14"/>
  <c r="Z27" i="14"/>
  <c r="V27" i="14"/>
  <c r="B27" i="14"/>
  <c r="BP26" i="14"/>
  <c r="BO26" i="14"/>
  <c r="BN26" i="14"/>
  <c r="BM26" i="14"/>
  <c r="BL26" i="14"/>
  <c r="BK26" i="14"/>
  <c r="BJ26" i="14"/>
  <c r="BI26" i="14"/>
  <c r="BH26" i="14"/>
  <c r="BG26" i="14"/>
  <c r="BF26" i="14"/>
  <c r="BE26" i="14"/>
  <c r="BA26" i="14"/>
  <c r="AY26" i="14"/>
  <c r="AX26" i="14"/>
  <c r="AW26" i="14"/>
  <c r="AV26" i="14"/>
  <c r="AR26" i="14"/>
  <c r="AP26" i="14"/>
  <c r="AO26" i="14"/>
  <c r="AN26" i="14"/>
  <c r="AM26" i="14"/>
  <c r="AI26" i="14"/>
  <c r="AG26" i="14"/>
  <c r="AF26" i="14"/>
  <c r="AE26" i="14"/>
  <c r="AD26" i="14"/>
  <c r="Z26" i="14"/>
  <c r="V26" i="14"/>
  <c r="B26" i="14"/>
  <c r="BP25" i="14"/>
  <c r="BO25" i="14"/>
  <c r="BN25" i="14"/>
  <c r="BM25" i="14"/>
  <c r="BL25" i="14"/>
  <c r="BK25" i="14"/>
  <c r="BJ25" i="14"/>
  <c r="BI25" i="14"/>
  <c r="BH25" i="14"/>
  <c r="BG25" i="14"/>
  <c r="BF25" i="14"/>
  <c r="BE25" i="14"/>
  <c r="BA25" i="14"/>
  <c r="AY25" i="14"/>
  <c r="AX25" i="14"/>
  <c r="AW25" i="14"/>
  <c r="AV25" i="14"/>
  <c r="AR25" i="14"/>
  <c r="AP25" i="14"/>
  <c r="AO25" i="14"/>
  <c r="AN25" i="14"/>
  <c r="AM25" i="14"/>
  <c r="AI25" i="14"/>
  <c r="AG25" i="14"/>
  <c r="AF25" i="14"/>
  <c r="AE25" i="14"/>
  <c r="AD25" i="14"/>
  <c r="Z25" i="14"/>
  <c r="V25" i="14"/>
  <c r="B25" i="14"/>
  <c r="BP24" i="14"/>
  <c r="BO24" i="14"/>
  <c r="BN24" i="14"/>
  <c r="BM24" i="14"/>
  <c r="BL24" i="14"/>
  <c r="BK24" i="14"/>
  <c r="BJ24" i="14"/>
  <c r="BI24" i="14"/>
  <c r="BH24" i="14"/>
  <c r="BG24" i="14"/>
  <c r="BF24" i="14"/>
  <c r="BE24" i="14"/>
  <c r="BA24" i="14"/>
  <c r="AY24" i="14"/>
  <c r="AX24" i="14"/>
  <c r="AW24" i="14"/>
  <c r="AV24" i="14"/>
  <c r="AR24" i="14"/>
  <c r="AP24" i="14"/>
  <c r="AO24" i="14"/>
  <c r="AN24" i="14"/>
  <c r="AM24" i="14"/>
  <c r="AI24" i="14"/>
  <c r="AG24" i="14"/>
  <c r="AF24" i="14"/>
  <c r="AE24" i="14"/>
  <c r="AD24" i="14"/>
  <c r="Z24" i="14"/>
  <c r="V24" i="14"/>
  <c r="B24" i="14"/>
  <c r="BP23" i="14"/>
  <c r="BO23" i="14"/>
  <c r="BN23" i="14"/>
  <c r="BM23" i="14"/>
  <c r="BL23" i="14"/>
  <c r="BK23" i="14"/>
  <c r="BJ23" i="14"/>
  <c r="BI23" i="14"/>
  <c r="BH23" i="14"/>
  <c r="BG23" i="14"/>
  <c r="BF23" i="14"/>
  <c r="BE23" i="14"/>
  <c r="BA23" i="14"/>
  <c r="AY23" i="14"/>
  <c r="AX23" i="14"/>
  <c r="AW23" i="14"/>
  <c r="AV23" i="14"/>
  <c r="AR23" i="14"/>
  <c r="AP23" i="14"/>
  <c r="AO23" i="14"/>
  <c r="AN23" i="14"/>
  <c r="AM23" i="14"/>
  <c r="AI23" i="14"/>
  <c r="AG23" i="14"/>
  <c r="AF23" i="14"/>
  <c r="AE23" i="14"/>
  <c r="AD23" i="14"/>
  <c r="Z23" i="14"/>
  <c r="V23" i="14"/>
  <c r="B23" i="14"/>
  <c r="BP22" i="14"/>
  <c r="BO22" i="14"/>
  <c r="BN22" i="14"/>
  <c r="BM22" i="14"/>
  <c r="BL22" i="14"/>
  <c r="BK22" i="14"/>
  <c r="BJ22" i="14"/>
  <c r="BI22" i="14"/>
  <c r="BH22" i="14"/>
  <c r="BG22" i="14"/>
  <c r="BF22" i="14"/>
  <c r="BE22" i="14"/>
  <c r="BA22" i="14"/>
  <c r="AY22" i="14"/>
  <c r="AX22" i="14"/>
  <c r="AW22" i="14"/>
  <c r="AV22" i="14"/>
  <c r="AR22" i="14"/>
  <c r="AP22" i="14"/>
  <c r="AO22" i="14"/>
  <c r="AN22" i="14"/>
  <c r="AM22" i="14"/>
  <c r="AI22" i="14"/>
  <c r="AG22" i="14"/>
  <c r="AF22" i="14"/>
  <c r="AE22" i="14"/>
  <c r="AD22" i="14"/>
  <c r="Z22" i="14"/>
  <c r="V22" i="14"/>
  <c r="B22" i="14"/>
  <c r="BP21" i="14"/>
  <c r="BO21" i="14"/>
  <c r="BN21" i="14"/>
  <c r="BM21" i="14"/>
  <c r="BL21" i="14"/>
  <c r="BK21" i="14"/>
  <c r="BJ21" i="14"/>
  <c r="BI21" i="14"/>
  <c r="BH21" i="14"/>
  <c r="BG21" i="14"/>
  <c r="BF21" i="14"/>
  <c r="BE21" i="14"/>
  <c r="AY21" i="14"/>
  <c r="AX21" i="14"/>
  <c r="AW21" i="14"/>
  <c r="AV21" i="14"/>
  <c r="AP21" i="14"/>
  <c r="AO21" i="14"/>
  <c r="BA21" i="14" s="1"/>
  <c r="AN21" i="14"/>
  <c r="AM21" i="14"/>
  <c r="AI21" i="14"/>
  <c r="AG21" i="14"/>
  <c r="AF21" i="14"/>
  <c r="AR21" i="14" s="1"/>
  <c r="AE21" i="14"/>
  <c r="AD21" i="14"/>
  <c r="Z21" i="14"/>
  <c r="V21" i="14"/>
  <c r="B21" i="14"/>
  <c r="BP20" i="14"/>
  <c r="BO20" i="14"/>
  <c r="BN20" i="14"/>
  <c r="BM20" i="14"/>
  <c r="BL20" i="14"/>
  <c r="BK20" i="14"/>
  <c r="BJ20" i="14"/>
  <c r="BI20" i="14"/>
  <c r="BH20" i="14"/>
  <c r="BG20" i="14"/>
  <c r="BF20" i="14"/>
  <c r="BE20" i="14"/>
  <c r="BA20" i="14"/>
  <c r="AY20" i="14"/>
  <c r="AX20" i="14"/>
  <c r="AW20" i="14"/>
  <c r="AV20" i="14"/>
  <c r="AR20" i="14"/>
  <c r="AP20" i="14"/>
  <c r="AO20" i="14"/>
  <c r="AN20" i="14"/>
  <c r="AM20" i="14"/>
  <c r="AI20" i="14"/>
  <c r="AG20" i="14"/>
  <c r="AF20" i="14"/>
  <c r="AE20" i="14"/>
  <c r="AD20" i="14"/>
  <c r="Z20" i="14"/>
  <c r="V20" i="14"/>
  <c r="B20" i="14"/>
  <c r="BP19" i="14"/>
  <c r="BO19" i="14"/>
  <c r="BN19" i="14"/>
  <c r="BM19" i="14"/>
  <c r="BL19" i="14"/>
  <c r="BK19" i="14"/>
  <c r="BJ19" i="14"/>
  <c r="BI19" i="14"/>
  <c r="BH19" i="14"/>
  <c r="BG19" i="14"/>
  <c r="BF19" i="14"/>
  <c r="BE19" i="14"/>
  <c r="BA19" i="14"/>
  <c r="AY19" i="14"/>
  <c r="AX19" i="14"/>
  <c r="AW19" i="14"/>
  <c r="AV19" i="14"/>
  <c r="AR19" i="14"/>
  <c r="AP19" i="14"/>
  <c r="AO19" i="14"/>
  <c r="AN19" i="14"/>
  <c r="AM19" i="14"/>
  <c r="AI19" i="14"/>
  <c r="AG19" i="14"/>
  <c r="AF19" i="14"/>
  <c r="AE19" i="14"/>
  <c r="AD19" i="14"/>
  <c r="Z19" i="14"/>
  <c r="V19" i="14"/>
  <c r="B19" i="14"/>
  <c r="BP18" i="14"/>
  <c r="BO18" i="14"/>
  <c r="BN18" i="14"/>
  <c r="BM18" i="14"/>
  <c r="BL18" i="14"/>
  <c r="BK18" i="14"/>
  <c r="BJ18" i="14"/>
  <c r="BI18" i="14"/>
  <c r="BH18" i="14"/>
  <c r="BG18" i="14"/>
  <c r="BF18" i="14"/>
  <c r="BE18" i="14"/>
  <c r="BA18" i="14"/>
  <c r="AY18" i="14"/>
  <c r="AX18" i="14"/>
  <c r="AW18" i="14"/>
  <c r="AV18" i="14"/>
  <c r="AR18" i="14"/>
  <c r="AP18" i="14"/>
  <c r="AO18" i="14"/>
  <c r="AN18" i="14"/>
  <c r="AM18" i="14"/>
  <c r="AI18" i="14"/>
  <c r="AG18" i="14"/>
  <c r="AF18" i="14"/>
  <c r="AE18" i="14"/>
  <c r="AD18" i="14"/>
  <c r="Z18" i="14"/>
  <c r="V18" i="14"/>
  <c r="B18" i="14"/>
  <c r="BP17" i="14"/>
  <c r="BO17" i="14"/>
  <c r="BN17" i="14"/>
  <c r="BM17" i="14"/>
  <c r="BL17" i="14"/>
  <c r="BK17" i="14"/>
  <c r="BJ17" i="14"/>
  <c r="BI17" i="14"/>
  <c r="BH17" i="14"/>
  <c r="BG17" i="14"/>
  <c r="BF17" i="14"/>
  <c r="BE17" i="14"/>
  <c r="BA17" i="14"/>
  <c r="AY17" i="14"/>
  <c r="AX17" i="14"/>
  <c r="AW17" i="14"/>
  <c r="AV17" i="14"/>
  <c r="AR17" i="14"/>
  <c r="AP17" i="14"/>
  <c r="AO17" i="14"/>
  <c r="AN17" i="14"/>
  <c r="AM17" i="14"/>
  <c r="AI17" i="14"/>
  <c r="AG17" i="14"/>
  <c r="AF17" i="14"/>
  <c r="AE17" i="14"/>
  <c r="AD17" i="14"/>
  <c r="Z17" i="14"/>
  <c r="V17" i="14"/>
  <c r="B17" i="14"/>
  <c r="BP16" i="14"/>
  <c r="BO16" i="14"/>
  <c r="BN16" i="14"/>
  <c r="BM16" i="14"/>
  <c r="BL16" i="14"/>
  <c r="BK16" i="14"/>
  <c r="BJ16" i="14"/>
  <c r="BI16" i="14"/>
  <c r="BH16" i="14"/>
  <c r="BG16" i="14"/>
  <c r="BF16" i="14"/>
  <c r="BE16" i="14"/>
  <c r="BA16" i="14"/>
  <c r="AY16" i="14"/>
  <c r="AX16" i="14"/>
  <c r="AW16" i="14"/>
  <c r="AV16" i="14"/>
  <c r="AR16" i="14"/>
  <c r="AP16" i="14"/>
  <c r="AO16" i="14"/>
  <c r="AN16" i="14"/>
  <c r="AM16" i="14"/>
  <c r="AI16" i="14"/>
  <c r="AG16" i="14"/>
  <c r="AF16" i="14"/>
  <c r="AE16" i="14"/>
  <c r="AD16" i="14"/>
  <c r="Z16" i="14"/>
  <c r="V16" i="14"/>
  <c r="B16" i="14"/>
  <c r="BP15" i="14"/>
  <c r="BO15" i="14"/>
  <c r="BN15" i="14"/>
  <c r="BM15" i="14"/>
  <c r="BL15" i="14"/>
  <c r="BK15" i="14"/>
  <c r="BJ15" i="14"/>
  <c r="BI15" i="14"/>
  <c r="BH15" i="14"/>
  <c r="BG15" i="14"/>
  <c r="BF15" i="14"/>
  <c r="BE15" i="14"/>
  <c r="BA15" i="14"/>
  <c r="AY15" i="14"/>
  <c r="AX15" i="14"/>
  <c r="AW15" i="14"/>
  <c r="AV15" i="14"/>
  <c r="AR15" i="14"/>
  <c r="AP15" i="14"/>
  <c r="AO15" i="14"/>
  <c r="AN15" i="14"/>
  <c r="AM15" i="14"/>
  <c r="AI15" i="14"/>
  <c r="AG15" i="14"/>
  <c r="AF15" i="14"/>
  <c r="AE15" i="14"/>
  <c r="AD15" i="14"/>
  <c r="Z15" i="14"/>
  <c r="V15" i="14"/>
  <c r="B15" i="14"/>
  <c r="BP14" i="14"/>
  <c r="BO14" i="14"/>
  <c r="BN14" i="14"/>
  <c r="BM14" i="14"/>
  <c r="BL14" i="14"/>
  <c r="BK14" i="14"/>
  <c r="BJ14" i="14"/>
  <c r="BI14" i="14"/>
  <c r="BH14" i="14"/>
  <c r="BG14" i="14"/>
  <c r="BF14" i="14"/>
  <c r="BE14" i="14"/>
  <c r="BA14" i="14"/>
  <c r="AY14" i="14"/>
  <c r="AX14" i="14"/>
  <c r="AW14" i="14"/>
  <c r="AV14" i="14"/>
  <c r="AR14" i="14"/>
  <c r="AP14" i="14"/>
  <c r="AO14" i="14"/>
  <c r="AN14" i="14"/>
  <c r="AM14" i="14"/>
  <c r="AI14" i="14"/>
  <c r="AG14" i="14"/>
  <c r="AF14" i="14"/>
  <c r="AE14" i="14"/>
  <c r="AD14" i="14"/>
  <c r="Z14" i="14"/>
  <c r="V14" i="14"/>
  <c r="B14" i="14"/>
  <c r="BP13" i="14"/>
  <c r="BO13" i="14"/>
  <c r="BN13" i="14"/>
  <c r="BM13" i="14"/>
  <c r="BL13" i="14"/>
  <c r="BK13" i="14"/>
  <c r="BJ13" i="14"/>
  <c r="BI13" i="14"/>
  <c r="BH13" i="14"/>
  <c r="BG13" i="14"/>
  <c r="BF13" i="14"/>
  <c r="BE13" i="14"/>
  <c r="BA13" i="14"/>
  <c r="AY13" i="14"/>
  <c r="AX13" i="14"/>
  <c r="AW13" i="14"/>
  <c r="AV13" i="14"/>
  <c r="AR13" i="14"/>
  <c r="AP13" i="14"/>
  <c r="AO13" i="14"/>
  <c r="AN13" i="14"/>
  <c r="AM13" i="14"/>
  <c r="AI13" i="14"/>
  <c r="AG13" i="14"/>
  <c r="AF13" i="14"/>
  <c r="AE13" i="14"/>
  <c r="AD13" i="14"/>
  <c r="Z13" i="14"/>
  <c r="V13" i="14"/>
  <c r="B13" i="14"/>
  <c r="BP12" i="14"/>
  <c r="BO12" i="14"/>
  <c r="BN12" i="14"/>
  <c r="BM12" i="14"/>
  <c r="BL12" i="14"/>
  <c r="BK12" i="14"/>
  <c r="BJ12" i="14"/>
  <c r="BI12" i="14"/>
  <c r="BH12" i="14"/>
  <c r="BG12" i="14"/>
  <c r="BF12" i="14"/>
  <c r="BE12" i="14"/>
  <c r="BA12" i="14"/>
  <c r="AY12" i="14"/>
  <c r="AX12" i="14"/>
  <c r="AW12" i="14"/>
  <c r="AV12" i="14"/>
  <c r="AR12" i="14"/>
  <c r="AP12" i="14"/>
  <c r="AO12" i="14"/>
  <c r="AN12" i="14"/>
  <c r="AM12" i="14"/>
  <c r="AI12" i="14"/>
  <c r="AG12" i="14"/>
  <c r="AF12" i="14"/>
  <c r="AE12" i="14"/>
  <c r="AD12" i="14"/>
  <c r="Z12" i="14"/>
  <c r="V12" i="14"/>
  <c r="B12" i="14"/>
  <c r="BP11" i="14"/>
  <c r="BO11" i="14"/>
  <c r="BN11" i="14"/>
  <c r="BM11" i="14"/>
  <c r="BL11" i="14"/>
  <c r="BK11" i="14"/>
  <c r="BJ11" i="14"/>
  <c r="BI11" i="14"/>
  <c r="BH11" i="14"/>
  <c r="BG11" i="14"/>
  <c r="BF11" i="14"/>
  <c r="BE11" i="14"/>
  <c r="BA11" i="14"/>
  <c r="AY11" i="14"/>
  <c r="AX11" i="14"/>
  <c r="AW11" i="14"/>
  <c r="AV11" i="14"/>
  <c r="AR11" i="14"/>
  <c r="AP11" i="14"/>
  <c r="AO11" i="14"/>
  <c r="AN11" i="14"/>
  <c r="AM11" i="14"/>
  <c r="AI11" i="14"/>
  <c r="AG11" i="14"/>
  <c r="AF11" i="14"/>
  <c r="AE11" i="14"/>
  <c r="AD11" i="14"/>
  <c r="Z11" i="14"/>
  <c r="V11" i="14"/>
  <c r="B11" i="14"/>
  <c r="BP10" i="14"/>
  <c r="BO10" i="14"/>
  <c r="BN10" i="14"/>
  <c r="BM10" i="14"/>
  <c r="BL10" i="14"/>
  <c r="BK10" i="14"/>
  <c r="BJ10" i="14"/>
  <c r="BG10" i="14"/>
  <c r="BF10" i="14"/>
  <c r="BE10" i="14"/>
  <c r="BA10" i="14"/>
  <c r="AX10" i="14"/>
  <c r="AW10" i="14"/>
  <c r="AV10" i="14"/>
  <c r="AR10" i="14"/>
  <c r="AO10" i="14"/>
  <c r="AN10" i="14"/>
  <c r="AM10" i="14"/>
  <c r="AI10" i="14"/>
  <c r="AF10" i="14"/>
  <c r="AE10" i="14"/>
  <c r="Z10" i="14"/>
  <c r="W10" i="14"/>
  <c r="AP10" i="14" s="1"/>
  <c r="V10" i="14"/>
  <c r="B10" i="14"/>
  <c r="BP9" i="14"/>
  <c r="BO9" i="14"/>
  <c r="BN9" i="14"/>
  <c r="BM9" i="14"/>
  <c r="BL9" i="14"/>
  <c r="BK9" i="14"/>
  <c r="BJ9" i="14"/>
  <c r="BI9" i="14"/>
  <c r="BH9" i="14"/>
  <c r="BG9" i="14"/>
  <c r="BF9" i="14"/>
  <c r="BE9" i="14"/>
  <c r="BA9" i="14"/>
  <c r="AY9" i="14"/>
  <c r="AX9" i="14"/>
  <c r="AW9" i="14"/>
  <c r="AV9" i="14"/>
  <c r="AR9" i="14"/>
  <c r="AP9" i="14"/>
  <c r="AO9" i="14"/>
  <c r="AN9" i="14"/>
  <c r="AM9" i="14"/>
  <c r="AI9" i="14"/>
  <c r="AG9" i="14"/>
  <c r="AF9" i="14"/>
  <c r="AE9" i="14"/>
  <c r="AD9" i="14"/>
  <c r="Z9" i="14"/>
  <c r="V9" i="14"/>
  <c r="B9" i="14"/>
  <c r="C9" i="16" l="1"/>
  <c r="D9" i="16" s="1"/>
  <c r="J104" i="15"/>
  <c r="E6" i="17" s="1"/>
  <c r="F6" i="17" s="1"/>
  <c r="I104" i="15"/>
  <c r="I217" i="15" s="1"/>
  <c r="E9" i="16"/>
  <c r="F9" i="16" s="1"/>
  <c r="C9" i="18"/>
  <c r="D9" i="18" s="1"/>
  <c r="Q104" i="15"/>
  <c r="M6" i="17" s="1"/>
  <c r="N6" i="17" s="1"/>
  <c r="M6" i="16"/>
  <c r="N6" i="16" s="1"/>
  <c r="C6" i="16"/>
  <c r="D6" i="16" s="1"/>
  <c r="M104" i="15"/>
  <c r="H6" i="17" s="1"/>
  <c r="I6" i="17" s="1"/>
  <c r="R9" i="16"/>
  <c r="S9" i="16" s="1"/>
  <c r="T9" i="16"/>
  <c r="U9" i="16" s="1"/>
  <c r="H6" i="16"/>
  <c r="I6" i="16" s="1"/>
  <c r="O6" i="16"/>
  <c r="C8" i="16"/>
  <c r="D8" i="16" s="1"/>
  <c r="E6" i="16"/>
  <c r="F6" i="16" s="1"/>
  <c r="O9" i="16"/>
  <c r="J9" i="16"/>
  <c r="K9" i="16" s="1"/>
  <c r="R104" i="15"/>
  <c r="O6" i="17" s="1"/>
  <c r="P6" i="17" s="1"/>
  <c r="V104" i="15"/>
  <c r="T6" i="17" s="1"/>
  <c r="U6" i="17" s="1"/>
  <c r="N104" i="15"/>
  <c r="J6" i="17" s="1"/>
  <c r="K6" i="17" s="1"/>
  <c r="J6" i="16"/>
  <c r="K6" i="16" s="1"/>
  <c r="AE84" i="14"/>
  <c r="BH53" i="14"/>
  <c r="AO56" i="14"/>
  <c r="AA67" i="14"/>
  <c r="BE79" i="14"/>
  <c r="AP89" i="14"/>
  <c r="AO41" i="14"/>
  <c r="AF49" i="14"/>
  <c r="AE85" i="14"/>
  <c r="BH89" i="14"/>
  <c r="AR98" i="14"/>
  <c r="BG41" i="14"/>
  <c r="AF56" i="14"/>
  <c r="BL116" i="14"/>
  <c r="AF41" i="14"/>
  <c r="AG67" i="14"/>
  <c r="AR77" i="14"/>
  <c r="Y10" i="14"/>
  <c r="AD10" i="14" s="1"/>
  <c r="AX50" i="14"/>
  <c r="AX56" i="14"/>
  <c r="AG71" i="14"/>
  <c r="AV78" i="14"/>
  <c r="AM79" i="14"/>
  <c r="BG134" i="14"/>
  <c r="BA150" i="14"/>
  <c r="BH10" i="14"/>
  <c r="AP53" i="14"/>
  <c r="AG94" i="14"/>
  <c r="AY94" i="14"/>
  <c r="Z150" i="14"/>
  <c r="AO133" i="14"/>
  <c r="AP47" i="14"/>
  <c r="BJ83" i="14"/>
  <c r="AA97" i="14"/>
  <c r="AE97" i="14" s="1"/>
  <c r="Z102" i="14"/>
  <c r="AF109" i="14"/>
  <c r="AE116" i="14"/>
  <c r="BF116" i="14"/>
  <c r="AY132" i="14"/>
  <c r="AE150" i="14"/>
  <c r="AG10" i="14"/>
  <c r="AF50" i="14"/>
  <c r="AG53" i="14"/>
  <c r="BJ82" i="14"/>
  <c r="AR84" i="14"/>
  <c r="AJ100" i="14"/>
  <c r="BL100" i="14" s="1"/>
  <c r="AX109" i="14"/>
  <c r="AO117" i="14"/>
  <c r="BG117" i="14"/>
  <c r="BF129" i="14"/>
  <c r="AG132" i="14"/>
  <c r="AX134" i="14"/>
  <c r="AP94" i="14"/>
  <c r="AF133" i="14"/>
  <c r="BA146" i="14"/>
  <c r="AI150" i="14"/>
  <c r="AE81" i="14"/>
  <c r="AP96" i="14"/>
  <c r="Z117" i="14"/>
  <c r="AR117" i="14"/>
  <c r="Z119" i="14"/>
  <c r="AG47" i="14"/>
  <c r="AA96" i="14"/>
  <c r="AE96" i="14" s="1"/>
  <c r="BH96" i="14"/>
  <c r="AR119" i="14"/>
  <c r="AE129" i="14"/>
  <c r="AP135" i="14"/>
  <c r="BJ105" i="14"/>
  <c r="AJ105" i="14"/>
  <c r="AE105" i="14"/>
  <c r="BH66" i="14"/>
  <c r="AP66" i="14"/>
  <c r="AA66" i="14"/>
  <c r="AG66" i="14"/>
  <c r="AY66" i="14"/>
  <c r="BO104" i="14"/>
  <c r="BE104" i="14"/>
  <c r="BJ71" i="14"/>
  <c r="AE71" i="14"/>
  <c r="BH103" i="14"/>
  <c r="AG103" i="14"/>
  <c r="AP103" i="14"/>
  <c r="AY103" i="14"/>
  <c r="AV104" i="14"/>
  <c r="BM104" i="14"/>
  <c r="BI81" i="14"/>
  <c r="AD81" i="14"/>
  <c r="AP129" i="14"/>
  <c r="AG129" i="14"/>
  <c r="AY129" i="14"/>
  <c r="BH129" i="14"/>
  <c r="AY68" i="14"/>
  <c r="AP72" i="14"/>
  <c r="BJ81" i="14"/>
  <c r="Z84" i="14"/>
  <c r="BA84" i="14"/>
  <c r="AY89" i="14"/>
  <c r="AG96" i="14"/>
  <c r="AG97" i="14"/>
  <c r="BH97" i="14"/>
  <c r="AS100" i="14"/>
  <c r="BN100" i="14" s="1"/>
  <c r="AO109" i="14"/>
  <c r="AF117" i="14"/>
  <c r="BA119" i="14"/>
  <c r="AP132" i="14"/>
  <c r="BA151" i="14"/>
  <c r="BN116" i="14"/>
  <c r="BI10" i="14"/>
  <c r="AF47" i="14"/>
  <c r="BH47" i="14"/>
  <c r="AX49" i="14"/>
  <c r="AP52" i="14"/>
  <c r="AO57" i="14"/>
  <c r="AP62" i="14"/>
  <c r="AY67" i="14"/>
  <c r="AE72" i="14"/>
  <c r="AE79" i="14"/>
  <c r="AI95" i="14"/>
  <c r="BJ96" i="14"/>
  <c r="BB100" i="14"/>
  <c r="BP100" i="14" s="1"/>
  <c r="AR102" i="14"/>
  <c r="W104" i="14"/>
  <c r="BF104" i="14"/>
  <c r="AG107" i="14"/>
  <c r="AY107" i="14"/>
  <c r="AW129" i="14"/>
  <c r="AX133" i="14"/>
  <c r="Z151" i="14"/>
  <c r="AI152" i="14"/>
  <c r="BM79" i="14"/>
  <c r="AJ97" i="14"/>
  <c r="BJ97" i="14"/>
  <c r="AI98" i="14"/>
  <c r="AI117" i="14"/>
  <c r="AY10" i="14"/>
  <c r="AX47" i="14"/>
  <c r="BH52" i="14"/>
  <c r="BG57" i="14"/>
  <c r="BH62" i="14"/>
  <c r="AP68" i="14"/>
  <c r="BE81" i="14"/>
  <c r="BM81" i="14"/>
  <c r="BA95" i="14"/>
  <c r="AR103" i="14"/>
  <c r="BP104" i="14"/>
  <c r="AN129" i="14"/>
  <c r="AR152" i="14"/>
  <c r="AO49" i="14"/>
  <c r="AG52" i="14"/>
  <c r="AF57" i="14"/>
  <c r="AG62" i="14"/>
  <c r="AP67" i="14"/>
  <c r="AY71" i="14"/>
  <c r="AM78" i="14"/>
  <c r="Z95" i="14"/>
  <c r="BA98" i="14"/>
  <c r="AI102" i="14"/>
  <c r="AI151" i="14"/>
  <c r="BH68" i="14"/>
  <c r="AP107" i="14"/>
  <c r="C6" i="17" l="1"/>
  <c r="D6" i="17" s="1"/>
  <c r="BJ67" i="14"/>
  <c r="AE67" i="14"/>
  <c r="BL97" i="14"/>
  <c r="AN97" i="14"/>
  <c r="AP104" i="14"/>
  <c r="AY104" i="14"/>
  <c r="AG104" i="14"/>
  <c r="BH104" i="14"/>
  <c r="Y104" i="14"/>
  <c r="AH104" i="14"/>
  <c r="AE66" i="14"/>
  <c r="BJ66" i="14"/>
  <c r="AS105" i="14"/>
  <c r="BL105" i="14"/>
  <c r="BK104" i="14" l="1"/>
  <c r="AM104" i="14"/>
  <c r="BI104" i="14"/>
  <c r="AD104" i="14"/>
  <c r="BB105" i="14"/>
  <c r="BP105" i="14" s="1"/>
  <c r="BN105" i="14"/>
  <c r="K102" i="14" l="1"/>
  <c r="W102" i="14" s="1"/>
  <c r="AG102" i="14" s="1"/>
  <c r="K98" i="14"/>
  <c r="W98" i="14" s="1"/>
  <c r="AP98" i="14" s="1"/>
  <c r="K101" i="14"/>
  <c r="W101" i="14" s="1"/>
  <c r="AY102" i="14" l="1"/>
  <c r="AP102" i="14"/>
  <c r="BH102" i="14"/>
  <c r="AG98" i="14"/>
  <c r="BH98" i="14"/>
  <c r="AY98" i="14"/>
  <c r="AS94" i="14"/>
  <c r="BB94" i="14"/>
  <c r="AJ94" i="14"/>
  <c r="AA101" i="14"/>
  <c r="AY101" i="14"/>
  <c r="AG101" i="14"/>
  <c r="BH101" i="14"/>
  <c r="AP101" i="14"/>
  <c r="AA94" i="14"/>
  <c r="BN94" i="14" l="1"/>
  <c r="AW94" i="14"/>
  <c r="AE101" i="14"/>
  <c r="BJ101" i="14"/>
  <c r="BP94" i="14"/>
  <c r="BF94" i="14"/>
  <c r="BL94" i="14"/>
  <c r="AN94" i="14"/>
  <c r="AE94" i="14"/>
  <c r="BJ94" i="14"/>
  <c r="G13" i="13" l="1"/>
  <c r="H11" i="13"/>
  <c r="E9" i="13"/>
  <c r="E5" i="13"/>
  <c r="E3" i="13"/>
  <c r="E8" i="13"/>
  <c r="E10" i="13"/>
  <c r="E4" i="13"/>
  <c r="E6" i="13"/>
  <c r="E7" i="13"/>
  <c r="H7" i="13" l="1"/>
  <c r="H6" i="13"/>
  <c r="H4" i="13"/>
  <c r="H10" i="13"/>
  <c r="H8" i="13"/>
  <c r="H3" i="13"/>
  <c r="E13" i="13"/>
  <c r="H5" i="13"/>
  <c r="H9" i="13"/>
  <c r="H13" i="13" l="1"/>
  <c r="B21" i="13"/>
  <c r="C11" i="17"/>
  <c r="D11" i="17" s="1"/>
  <c r="C10" i="16"/>
  <c r="D10" i="16" s="1"/>
  <c r="E10" i="16" l="1"/>
  <c r="F10" i="16" s="1"/>
  <c r="J172" i="15"/>
  <c r="J217" i="15" l="1"/>
  <c r="E11" i="17" s="1"/>
  <c r="F11" i="17" s="1"/>
  <c r="E7" i="17"/>
  <c r="F7" i="17" s="1"/>
  <c r="J10" i="16"/>
  <c r="K10" i="16" s="1"/>
  <c r="N172" i="15"/>
  <c r="J7" i="17" s="1"/>
  <c r="K7" i="17" s="1"/>
  <c r="N217" i="15" l="1"/>
  <c r="J11" i="17" s="1"/>
  <c r="R172" i="15"/>
  <c r="R217" i="15" s="1"/>
  <c r="O11" i="17" s="1"/>
  <c r="P11" i="17" s="1"/>
  <c r="O10" i="16"/>
  <c r="T10" i="16"/>
  <c r="U10" i="16" s="1"/>
  <c r="V172" i="15"/>
  <c r="V217" i="15" s="1"/>
  <c r="T11" i="17" s="1"/>
  <c r="U11" i="17" s="1"/>
  <c r="T7" i="17" l="1"/>
  <c r="U7" i="17" s="1"/>
  <c r="O7" i="17"/>
  <c r="P7" i="17" s="1"/>
  <c r="I11" i="17"/>
  <c r="S7" i="17"/>
  <c r="S11" i="17"/>
  <c r="R7" i="17"/>
  <c r="H7" i="17"/>
  <c r="I7" i="17"/>
  <c r="M7" i="17"/>
  <c r="N7" i="17"/>
  <c r="M172" i="15"/>
  <c r="M217" i="15"/>
  <c r="H11" i="17"/>
  <c r="M161" i="15"/>
  <c r="H10" i="16"/>
  <c r="I10" i="16"/>
  <c r="Q172" i="15"/>
  <c r="Q217" i="15"/>
  <c r="M11" i="17"/>
  <c r="N11" i="17"/>
  <c r="U172" i="15"/>
  <c r="U217" i="15"/>
  <c r="R11" i="17"/>
  <c r="U161" i="15"/>
  <c r="R10" i="16"/>
  <c r="S10" i="16"/>
  <c r="Q161" i="15"/>
  <c r="M10" i="16"/>
  <c r="N10" i="16"/>
</calcChain>
</file>

<file path=xl/comments1.xml><?xml version="1.0" encoding="utf-8"?>
<comments xmlns="http://schemas.openxmlformats.org/spreadsheetml/2006/main">
  <authors>
    <author>JUAN CARLOS BORDA RIVAS</author>
  </authors>
  <commentList>
    <comment ref="W103" authorId="0" shapeId="0">
      <text>
        <r>
          <rPr>
            <b/>
            <sz val="9"/>
            <color indexed="81"/>
            <rFont val="Tahoma"/>
            <family val="2"/>
          </rPr>
          <t>JUAN CARLOS BORDA RIVAS:</t>
        </r>
        <r>
          <rPr>
            <sz val="9"/>
            <color indexed="81"/>
            <rFont val="Tahoma"/>
            <family val="2"/>
          </rPr>
          <t xml:space="preserve">
INCLUYE VIGENCIAS FUTURAS POR VALOR DE $361,433,212,80</t>
        </r>
      </text>
    </comment>
  </commentList>
</comments>
</file>

<file path=xl/comments2.xml><?xml version="1.0" encoding="utf-8"?>
<comments xmlns="http://schemas.openxmlformats.org/spreadsheetml/2006/main">
  <authors>
    <author>JUAN CARLOS ESCOBAR BAQUERO</author>
  </authors>
  <commentList>
    <comment ref="AG87" authorId="0" shapeId="0">
      <text>
        <r>
          <rPr>
            <b/>
            <sz val="9"/>
            <color indexed="81"/>
            <rFont val="Tahoma"/>
            <family val="2"/>
          </rPr>
          <t>JUAN CARLOS ESCOBAR BAQUERO:</t>
        </r>
        <r>
          <rPr>
            <sz val="9"/>
            <color indexed="81"/>
            <rFont val="Tahoma"/>
            <family val="2"/>
          </rPr>
          <t xml:space="preserve">
Revisar </t>
        </r>
      </text>
    </comment>
  </commentList>
</comments>
</file>

<file path=xl/comments3.xml><?xml version="1.0" encoding="utf-8"?>
<comments xmlns="http://schemas.openxmlformats.org/spreadsheetml/2006/main">
  <authors>
    <author>fogafin</author>
    <author>Toshiba</author>
    <author>NORELA BRICEÑO BOHORQUEZ</author>
  </authors>
  <commentList>
    <comment ref="I14" authorId="0" shapeId="0">
      <text>
        <r>
          <rPr>
            <b/>
            <sz val="10"/>
            <color indexed="81"/>
            <rFont val="Tahoma"/>
            <family val="2"/>
          </rPr>
          <t>Es la correspondencia entre el resultado del indicador en el periodo y la meta establecida.</t>
        </r>
      </text>
    </comment>
    <comment ref="J14" authorId="0" shapeId="0">
      <text>
        <r>
          <rPr>
            <b/>
            <sz val="10"/>
            <color indexed="81"/>
            <rFont val="Tahoma"/>
            <family val="2"/>
          </rPr>
          <t>Muestra el avance acumulado del idicador.</t>
        </r>
      </text>
    </comment>
    <comment ref="M14" authorId="0" shapeId="0">
      <text>
        <r>
          <rPr>
            <b/>
            <sz val="10"/>
            <color indexed="81"/>
            <rFont val="Tahoma"/>
            <family val="2"/>
          </rPr>
          <t>Es la correspondencia entre el resultado del indicador en el periodo y la meta establecida.</t>
        </r>
      </text>
    </comment>
    <comment ref="N14" authorId="0" shapeId="0">
      <text>
        <r>
          <rPr>
            <b/>
            <sz val="10"/>
            <color indexed="81"/>
            <rFont val="Tahoma"/>
            <family val="2"/>
          </rPr>
          <t>Muestra el avance acumulado del idicado</t>
        </r>
      </text>
    </comment>
    <comment ref="Q14" authorId="0" shapeId="0">
      <text>
        <r>
          <rPr>
            <b/>
            <sz val="10"/>
            <color indexed="81"/>
            <rFont val="Tahoma"/>
            <family val="2"/>
          </rPr>
          <t>Es la correspondencia entre el resultado del indicador en el periodo y la meta establecida.</t>
        </r>
      </text>
    </comment>
    <comment ref="R14" authorId="0" shapeId="0">
      <text>
        <r>
          <rPr>
            <b/>
            <sz val="10"/>
            <color indexed="81"/>
            <rFont val="Tahoma"/>
            <family val="2"/>
          </rPr>
          <t>Muestra el avance acumulado del idicado</t>
        </r>
      </text>
    </comment>
    <comment ref="U14" authorId="0" shapeId="0">
      <text>
        <r>
          <rPr>
            <b/>
            <sz val="10"/>
            <color indexed="81"/>
            <rFont val="Tahoma"/>
            <family val="2"/>
          </rPr>
          <t>Es la correspondencia entre el resultado del indicador en el periodo y la meta establecida.</t>
        </r>
      </text>
    </comment>
    <comment ref="V14" authorId="0" shapeId="0">
      <text>
        <r>
          <rPr>
            <b/>
            <sz val="10"/>
            <color indexed="81"/>
            <rFont val="Tahoma"/>
            <family val="2"/>
          </rPr>
          <t>Muestra el avance acumulado del idicador</t>
        </r>
      </text>
    </comment>
    <comment ref="W14" authorId="0" shapeId="0">
      <text>
        <r>
          <rPr>
            <b/>
            <sz val="10"/>
            <color indexed="81"/>
            <rFont val="Tahoma"/>
            <family val="2"/>
          </rPr>
          <t>Haga click en el semáforo para consultar información más detallada sobre el indicador, sus resultados, tendencias y análisis en su ficha técnica.</t>
        </r>
      </text>
    </comment>
    <comment ref="Y14" authorId="1" shapeId="0">
      <text>
        <r>
          <rPr>
            <b/>
            <sz val="11"/>
            <color indexed="81"/>
            <rFont val="Tahoma"/>
            <family val="2"/>
          </rPr>
          <t>Corresponde al resultado consolidado al corte, según su frecuencia de medición y reporte en la Ficha Técnica del indicador.</t>
        </r>
      </text>
    </comment>
    <comment ref="Z14" authorId="0" shapeId="0">
      <text>
        <r>
          <rPr>
            <b/>
            <sz val="10"/>
            <color indexed="81"/>
            <rFont val="Tahoma"/>
            <family val="2"/>
          </rPr>
          <t>Es la correspondencia entre el resultado del indicador en el periodo y la meta establecida.</t>
        </r>
      </text>
    </comment>
    <comment ref="AK14" authorId="0" shapeId="0">
      <text>
        <r>
          <rPr>
            <b/>
            <sz val="10"/>
            <color indexed="81"/>
            <rFont val="Tahoma"/>
            <family val="2"/>
          </rPr>
          <t>Haga click en el semáforo para consultar información más detallada sobre el indicador, sus resultados, tendencias y análisis en su ficha técnica.</t>
        </r>
      </text>
    </comment>
    <comment ref="AM14" authorId="1" shapeId="0">
      <text>
        <r>
          <rPr>
            <b/>
            <sz val="11"/>
            <color indexed="81"/>
            <rFont val="Tahoma"/>
            <family val="2"/>
          </rPr>
          <t>Corresponde al resultado consolidado al corte, según su frecuencia de medición y reporte en la Ficha Técnica del indicador.</t>
        </r>
      </text>
    </comment>
    <comment ref="AN14" authorId="0" shapeId="0">
      <text>
        <r>
          <rPr>
            <b/>
            <sz val="10"/>
            <color indexed="81"/>
            <rFont val="Tahoma"/>
            <family val="2"/>
          </rPr>
          <t>Es la correspondencia entre el resultado del indicador en el periodo y la meta establecida.</t>
        </r>
      </text>
    </comment>
    <comment ref="AY14" authorId="0" shapeId="0">
      <text>
        <r>
          <rPr>
            <b/>
            <sz val="10"/>
            <color indexed="81"/>
            <rFont val="Tahoma"/>
            <family val="2"/>
          </rPr>
          <t>Haga click en el semáforo para consultar información más detallada sobre el indicador, sus resultados, tendencias y análisis en su ficha técnica.</t>
        </r>
      </text>
    </comment>
    <comment ref="BA14" authorId="1" shapeId="0">
      <text>
        <r>
          <rPr>
            <b/>
            <sz val="11"/>
            <color indexed="81"/>
            <rFont val="Tahoma"/>
            <family val="2"/>
          </rPr>
          <t>Corresponde al resultado consolidado al corte, según su frecuencia de medición y reporte en la Ficha Técnica del indicador.</t>
        </r>
      </text>
    </comment>
    <comment ref="BB14" authorId="0" shapeId="0">
      <text>
        <r>
          <rPr>
            <b/>
            <sz val="10"/>
            <color indexed="81"/>
            <rFont val="Tahoma"/>
            <family val="2"/>
          </rPr>
          <t>Es la correspondencia entre el resultado del indicador en el periodo y la meta establecida.</t>
        </r>
      </text>
    </comment>
    <comment ref="BM14" authorId="0" shapeId="0">
      <text>
        <r>
          <rPr>
            <b/>
            <sz val="10"/>
            <color indexed="81"/>
            <rFont val="Tahoma"/>
            <family val="2"/>
          </rPr>
          <t>Haga click en el semáforo para consultar información más detallada sobre el indicador, sus resultados, tendencias y análisis en su ficha técnica.</t>
        </r>
      </text>
    </comment>
    <comment ref="BO14" authorId="1" shapeId="0">
      <text>
        <r>
          <rPr>
            <b/>
            <sz val="11"/>
            <color indexed="81"/>
            <rFont val="Tahoma"/>
            <family val="2"/>
          </rPr>
          <t>Corresponde al resultado consolidado al corte, según su frecuencia de medición y reporte en la Ficha Técnica del indicador.</t>
        </r>
      </text>
    </comment>
    <comment ref="BP14" authorId="0" shapeId="0">
      <text>
        <r>
          <rPr>
            <b/>
            <sz val="10"/>
            <color indexed="81"/>
            <rFont val="Tahoma"/>
            <family val="2"/>
          </rPr>
          <t>Es la correspondencia entre el resultado del indicador en el periodo y la meta establecida.</t>
        </r>
      </text>
    </comment>
    <comment ref="CA14" authorId="0" shapeId="0">
      <text>
        <r>
          <rPr>
            <b/>
            <sz val="10"/>
            <color indexed="81"/>
            <rFont val="Tahoma"/>
            <family val="2"/>
          </rPr>
          <t>Haga click en el semáforo para consultar información más detallada sobre el indicador, sus resultados, tendencias y análisis en su ficha técnica.</t>
        </r>
      </text>
    </comment>
    <comment ref="H196" authorId="2" shapeId="0">
      <text>
        <r>
          <rPr>
            <b/>
            <sz val="9"/>
            <color indexed="81"/>
            <rFont val="Tahoma"/>
            <family val="2"/>
          </rPr>
          <t>NORELA BRICEÑO BOHORQUEZ:</t>
        </r>
        <r>
          <rPr>
            <sz val="9"/>
            <color indexed="81"/>
            <rFont val="Tahoma"/>
            <family val="2"/>
          </rPr>
          <t xml:space="preserve">
</t>
        </r>
      </text>
    </comment>
  </commentList>
</comments>
</file>

<file path=xl/comments4.xml><?xml version="1.0" encoding="utf-8"?>
<comments xmlns="http://schemas.openxmlformats.org/spreadsheetml/2006/main">
  <authors>
    <author>fogafin</author>
  </authors>
  <commentList>
    <comment ref="C5" authorId="0" shapeId="0">
      <text>
        <r>
          <rPr>
            <b/>
            <sz val="10"/>
            <color indexed="81"/>
            <rFont val="Tahoma"/>
            <family val="2"/>
          </rPr>
          <t>Es la correspondencia entre el resultado del indicador en el periodo y la meta establecida.</t>
        </r>
      </text>
    </comment>
    <comment ref="E5" authorId="0" shapeId="0">
      <text>
        <r>
          <rPr>
            <b/>
            <sz val="10"/>
            <color indexed="81"/>
            <rFont val="Tahoma"/>
            <family val="2"/>
          </rPr>
          <t>Corresponde al avance acumulado del indicador</t>
        </r>
      </text>
    </comment>
    <comment ref="H5" authorId="0" shapeId="0">
      <text>
        <r>
          <rPr>
            <b/>
            <sz val="10"/>
            <color indexed="81"/>
            <rFont val="Tahoma"/>
            <family val="2"/>
          </rPr>
          <t>Es la correspondencia entre el resultado del indicador en el periodo y la meta establecida.</t>
        </r>
      </text>
    </comment>
    <comment ref="J5" authorId="0" shapeId="0">
      <text>
        <r>
          <rPr>
            <b/>
            <sz val="10"/>
            <color indexed="81"/>
            <rFont val="Tahoma"/>
            <family val="2"/>
          </rPr>
          <t>Corresponde al avance acumulado del indicador</t>
        </r>
      </text>
    </comment>
    <comment ref="M5" authorId="0" shapeId="0">
      <text>
        <r>
          <rPr>
            <b/>
            <sz val="10"/>
            <color indexed="81"/>
            <rFont val="Tahoma"/>
            <family val="2"/>
          </rPr>
          <t>Es la correspondencia entre el resultado del indicador en el periodo y la meta establecida.</t>
        </r>
      </text>
    </comment>
    <comment ref="O5" authorId="0" shapeId="0">
      <text>
        <r>
          <rPr>
            <b/>
            <sz val="10"/>
            <color indexed="81"/>
            <rFont val="Tahoma"/>
            <family val="2"/>
          </rPr>
          <t>Corresponde al avance acumulado del indicador</t>
        </r>
      </text>
    </comment>
    <comment ref="R5" authorId="0" shapeId="0">
      <text>
        <r>
          <rPr>
            <b/>
            <sz val="10"/>
            <color indexed="81"/>
            <rFont val="Tahoma"/>
            <family val="2"/>
          </rPr>
          <t>Es la correspondencia entre el resultado del indicador en el periodo y la meta establecida.</t>
        </r>
      </text>
    </comment>
    <comment ref="T5" authorId="0" shapeId="0">
      <text>
        <r>
          <rPr>
            <b/>
            <sz val="10"/>
            <color indexed="81"/>
            <rFont val="Tahoma"/>
            <family val="2"/>
          </rPr>
          <t>Corresponde al avance acumulado del indicador</t>
        </r>
      </text>
    </comment>
  </commentList>
</comments>
</file>

<file path=xl/comments5.xml><?xml version="1.0" encoding="utf-8"?>
<comments xmlns="http://schemas.openxmlformats.org/spreadsheetml/2006/main">
  <authors>
    <author>fogafin</author>
  </authors>
  <commentList>
    <comment ref="C5" authorId="0" shapeId="0">
      <text>
        <r>
          <rPr>
            <b/>
            <sz val="10"/>
            <color indexed="81"/>
            <rFont val="Tahoma"/>
            <family val="2"/>
          </rPr>
          <t>Es la correspondencia entre el resultado del indicador en el periodo y la meta establecida.</t>
        </r>
      </text>
    </comment>
    <comment ref="E5" authorId="0" shapeId="0">
      <text>
        <r>
          <rPr>
            <b/>
            <sz val="10"/>
            <color indexed="81"/>
            <rFont val="Tahoma"/>
            <family val="2"/>
          </rPr>
          <t>Correponde al cumplimiento acumuldo del indicador</t>
        </r>
      </text>
    </comment>
    <comment ref="H5" authorId="0" shapeId="0">
      <text>
        <r>
          <rPr>
            <b/>
            <sz val="10"/>
            <color indexed="81"/>
            <rFont val="Tahoma"/>
            <family val="2"/>
          </rPr>
          <t>Es la correspondencia entre el resultado del indicador en el periodo y la meta establecida.</t>
        </r>
      </text>
    </comment>
    <comment ref="J5" authorId="0" shapeId="0">
      <text>
        <r>
          <rPr>
            <b/>
            <sz val="10"/>
            <color indexed="81"/>
            <rFont val="Tahoma"/>
            <family val="2"/>
          </rPr>
          <t>Correponde al cumplimiento acumuldo del indicador</t>
        </r>
      </text>
    </comment>
    <comment ref="M5" authorId="0" shapeId="0">
      <text>
        <r>
          <rPr>
            <b/>
            <sz val="10"/>
            <color indexed="81"/>
            <rFont val="Tahoma"/>
            <family val="2"/>
          </rPr>
          <t>Es la correspondencia entre el resultado del indicador en el periodo y la meta establecida.</t>
        </r>
      </text>
    </comment>
    <comment ref="O5" authorId="0" shapeId="0">
      <text>
        <r>
          <rPr>
            <b/>
            <sz val="10"/>
            <color indexed="81"/>
            <rFont val="Tahoma"/>
            <family val="2"/>
          </rPr>
          <t>Correponde al cumplimiento acumuldo del indicador</t>
        </r>
      </text>
    </comment>
    <comment ref="R5" authorId="0" shapeId="0">
      <text>
        <r>
          <rPr>
            <b/>
            <sz val="10"/>
            <color indexed="81"/>
            <rFont val="Tahoma"/>
            <family val="2"/>
          </rPr>
          <t>Es la correspondencia entre el resultado del indicador en el periodo y la meta establecida.</t>
        </r>
      </text>
    </comment>
    <comment ref="T5" authorId="0" shapeId="0">
      <text>
        <r>
          <rPr>
            <b/>
            <sz val="10"/>
            <color indexed="81"/>
            <rFont val="Tahoma"/>
            <family val="2"/>
          </rPr>
          <t>Correponde al cumplimiento acumuldo del indicador</t>
        </r>
      </text>
    </comment>
  </commentList>
</comments>
</file>

<file path=xl/comments6.xml><?xml version="1.0" encoding="utf-8"?>
<comments xmlns="http://schemas.openxmlformats.org/spreadsheetml/2006/main">
  <authors>
    <author>fogafin</author>
  </authors>
  <commentList>
    <comment ref="C5" authorId="0" shapeId="0">
      <text>
        <r>
          <rPr>
            <b/>
            <sz val="10"/>
            <color indexed="81"/>
            <rFont val="Tahoma"/>
            <family val="2"/>
          </rPr>
          <t>Es la correspondencia entre el resultado del indicador en el periodo y la meta establecida.</t>
        </r>
      </text>
    </comment>
    <comment ref="E5" authorId="0" shapeId="0">
      <text>
        <r>
          <rPr>
            <b/>
            <sz val="10"/>
            <color indexed="81"/>
            <rFont val="Tahoma"/>
            <family val="2"/>
          </rPr>
          <t>Corresponde al avance acumulado en el periodo</t>
        </r>
      </text>
    </comment>
    <comment ref="H5" authorId="0" shapeId="0">
      <text>
        <r>
          <rPr>
            <b/>
            <sz val="10"/>
            <color indexed="81"/>
            <rFont val="Tahoma"/>
            <family val="2"/>
          </rPr>
          <t>Es la correspondencia entre el resultado del indicador en el periodo y la meta establecida.</t>
        </r>
      </text>
    </comment>
    <comment ref="J5" authorId="0" shapeId="0">
      <text>
        <r>
          <rPr>
            <b/>
            <sz val="10"/>
            <color indexed="81"/>
            <rFont val="Tahoma"/>
            <family val="2"/>
          </rPr>
          <t>Corresponde al avance acumulado en el periodo</t>
        </r>
      </text>
    </comment>
    <comment ref="M5" authorId="0" shapeId="0">
      <text>
        <r>
          <rPr>
            <b/>
            <sz val="10"/>
            <color indexed="81"/>
            <rFont val="Tahoma"/>
            <family val="2"/>
          </rPr>
          <t>Es la correspondencia entre el resultado del indicador en el periodo y la meta establecida.</t>
        </r>
      </text>
    </comment>
    <comment ref="O5" authorId="0" shapeId="0">
      <text>
        <r>
          <rPr>
            <b/>
            <sz val="10"/>
            <color indexed="81"/>
            <rFont val="Tahoma"/>
            <family val="2"/>
          </rPr>
          <t>Corresponde al avance acumulado en el periodo</t>
        </r>
      </text>
    </comment>
    <comment ref="R5" authorId="0" shapeId="0">
      <text>
        <r>
          <rPr>
            <b/>
            <sz val="10"/>
            <color indexed="81"/>
            <rFont val="Tahoma"/>
            <family val="2"/>
          </rPr>
          <t>Es la correspondencia entre el resultado del indicador en el periodo y la meta establecida.</t>
        </r>
      </text>
    </comment>
    <comment ref="T5" authorId="0" shapeId="0">
      <text>
        <r>
          <rPr>
            <b/>
            <sz val="10"/>
            <color indexed="81"/>
            <rFont val="Tahoma"/>
            <family val="2"/>
          </rPr>
          <t>Corresponde al avance acumulado en el periodo</t>
        </r>
      </text>
    </comment>
  </commentList>
</comments>
</file>

<file path=xl/sharedStrings.xml><?xml version="1.0" encoding="utf-8"?>
<sst xmlns="http://schemas.openxmlformats.org/spreadsheetml/2006/main" count="8751" uniqueCount="1039">
  <si>
    <t>INDICADOR</t>
  </si>
  <si>
    <t>Indicador SINERGIA</t>
  </si>
  <si>
    <t xml:space="preserve">Subdirección de Garantías </t>
  </si>
  <si>
    <t>Dirección General</t>
  </si>
  <si>
    <t>Dirección de Gestión de Recursos Financieros de Salud</t>
  </si>
  <si>
    <t>Oficina de Control Interno</t>
  </si>
  <si>
    <t>Dirección de Gestión de Tecnología de la Información y la Comunicación</t>
  </si>
  <si>
    <t>AVANCE TOTAL</t>
  </si>
  <si>
    <t>TRIMESTRE I</t>
  </si>
  <si>
    <t>TRIMESTRE II</t>
  </si>
  <si>
    <t>TRIMESTRE III</t>
  </si>
  <si>
    <t>TRIMESTRE IV</t>
  </si>
  <si>
    <t>%</t>
  </si>
  <si>
    <t>PROCESO ASOCIADO</t>
  </si>
  <si>
    <t>PROCEDIMIENTO ASOCIADO</t>
  </si>
  <si>
    <t>FISICO</t>
  </si>
  <si>
    <t>CANTIDAD</t>
  </si>
  <si>
    <t>FUENTE RECURSOS</t>
  </si>
  <si>
    <t>VALOR EJECUTADO</t>
  </si>
  <si>
    <t>AVANCE TRIMESTRE</t>
  </si>
  <si>
    <t>FINANCIERO</t>
  </si>
  <si>
    <t>2. Recuperación de la confianza y la legitimidad</t>
  </si>
  <si>
    <t xml:space="preserve">2.2. Simplificar procesos </t>
  </si>
  <si>
    <t>2.3. Promover la transparencia, participación ciudadana y rendición de cuentas</t>
  </si>
  <si>
    <t>Reportar el cumplimiento del Plan de Acción de la Dependencia</t>
  </si>
  <si>
    <t>Central de Costos</t>
  </si>
  <si>
    <t>Dirección de Liquidaciones y Garantías</t>
  </si>
  <si>
    <t xml:space="preserve">Subdirección  Liquidaciones </t>
  </si>
  <si>
    <t xml:space="preserve">Dirección de Otras Prestaciones  </t>
  </si>
  <si>
    <t>Dirección Administrativa y Financiera</t>
  </si>
  <si>
    <t>Oficina Asesora de Planeación y Control de Riegos</t>
  </si>
  <si>
    <t>Áreas Técnicas</t>
  </si>
  <si>
    <t>Objetivo Especifico PND</t>
  </si>
  <si>
    <t xml:space="preserve">Estrategia Sectorial </t>
  </si>
  <si>
    <t>1. Asegurar  la sostenibilidad financiera del sistema en condiciones de eficiencia</t>
  </si>
  <si>
    <t>1.1. Establecer medidas financieras para el saneamiento de pasivos</t>
  </si>
  <si>
    <t>2.1 Fortalecer la institucionalidad para la administración de los recursos del Sistema General de Seguridad Social en Salud</t>
  </si>
  <si>
    <t>3. Buen Gobierno</t>
  </si>
  <si>
    <t xml:space="preserve">3.2. Promover la Eficiencia y la Eficiencia Administrativa </t>
  </si>
  <si>
    <t xml:space="preserve">3.1. Afianzar la lucha contra la corrupción </t>
  </si>
  <si>
    <t>3.3. Optimizar la gestión de información</t>
  </si>
  <si>
    <t>3.4. Optimizar la gestión de la inversión de los recursos públicos</t>
  </si>
  <si>
    <t>A</t>
  </si>
  <si>
    <t>B</t>
  </si>
  <si>
    <t>C</t>
  </si>
  <si>
    <t>1. Talento Humano</t>
  </si>
  <si>
    <t>3. Gestión Resultado con valores</t>
  </si>
  <si>
    <t>4. Evaluación de Resultados</t>
  </si>
  <si>
    <t>5. Información y Comunicación</t>
  </si>
  <si>
    <t>6. Gestión del Conocimiento y la Innovación</t>
  </si>
  <si>
    <t>7. Control Interno</t>
  </si>
  <si>
    <t>2. Direccionamiento Estratégico</t>
  </si>
  <si>
    <t>Política MIPG</t>
  </si>
  <si>
    <t>Dimensión MIPG</t>
  </si>
  <si>
    <t>1.1. Talento Humano</t>
  </si>
  <si>
    <t>1.2. Integralidad</t>
  </si>
  <si>
    <t>2.1. Planeación Institucional</t>
  </si>
  <si>
    <t>2.2. Gestión Presupuestal y eficiencia del gasto público</t>
  </si>
  <si>
    <t>3.4 Seguridad Digital</t>
  </si>
  <si>
    <t>3.6. Servicio al Ciudadano</t>
  </si>
  <si>
    <t>4.1. Seguimiento y Evaluación del Desempeño Institucional</t>
  </si>
  <si>
    <t>5.1. Gestión Documental</t>
  </si>
  <si>
    <t>5.2. Transparencia, acceso a la información pública y lucha contra la corrupción</t>
  </si>
  <si>
    <t>6.1. Gestión del Conocimiento y la Innovación</t>
  </si>
  <si>
    <t>7.1. Control Interno</t>
  </si>
  <si>
    <t>D</t>
  </si>
  <si>
    <t>E</t>
  </si>
  <si>
    <t>Proceso</t>
  </si>
  <si>
    <t>3.1. Gestión presupuestal y eficiencia del gasto público</t>
  </si>
  <si>
    <t xml:space="preserve">3.2. Fortalecimiento organizacional y simplificación de procesos
</t>
  </si>
  <si>
    <t xml:space="preserve">3.7. Racionalización de Tramites </t>
  </si>
  <si>
    <t>3.8. Participación Ciudadana en la gestión publica</t>
  </si>
  <si>
    <t>3.9. Gobierno Digital: Para servicio y Gobierno Abierto</t>
  </si>
  <si>
    <t>3.3. Gobierno Digital: Para Gestión y Seguridad de la Información</t>
  </si>
  <si>
    <t>3.5. Defensa Jurídica</t>
  </si>
  <si>
    <t>1. Direccionamiento Estratégico</t>
  </si>
  <si>
    <t>F</t>
  </si>
  <si>
    <t>Procedimiento</t>
  </si>
  <si>
    <t>G</t>
  </si>
  <si>
    <t>Indicador</t>
  </si>
  <si>
    <t>CÓDIGO AREA</t>
  </si>
  <si>
    <t>NOMBRE AREA</t>
  </si>
  <si>
    <t>CÓDIGO
PRODUCTO</t>
  </si>
  <si>
    <t>Código ACTIVIDAD</t>
  </si>
  <si>
    <t>H</t>
  </si>
  <si>
    <t>INDICADOR SINERGIA</t>
  </si>
  <si>
    <t>UNIDAD DE MEDICIÓN</t>
  </si>
  <si>
    <t>POLÍTICA DEL MIPG</t>
  </si>
  <si>
    <t>DIMENSIÓN MIPG</t>
  </si>
  <si>
    <t>I</t>
  </si>
  <si>
    <t>OBJETIVO PND</t>
  </si>
  <si>
    <t>ESTRATEGIA ASOCIADO</t>
  </si>
  <si>
    <t>Porcentaje de ESE sin riesgo financiero o riesgo bajo</t>
  </si>
  <si>
    <t>Deudas a más de 180 días como porcentaje de facturación anual de los hospitales públicos</t>
  </si>
  <si>
    <t>Gasto por eventos no incluidos en el plan de beneficios ($ billones)</t>
  </si>
  <si>
    <t>Portales web de consulta en salud y protección social operando</t>
  </si>
  <si>
    <t>Reportar el plan Anticorrupción</t>
  </si>
  <si>
    <t>Cumplir con las directrices de la Ley 1712 de 2014</t>
  </si>
  <si>
    <t>Cumplir con el componente Rendición de Cuentas (Democratización de la Administración Pública)</t>
  </si>
  <si>
    <t xml:space="preserve">Estructurar y poner en funcionamiento la Entidad Administradora de los Recursos </t>
  </si>
  <si>
    <t>Mantener actualizado el reporte al SUIT</t>
  </si>
  <si>
    <t>Cumplir la Política de Servicio al Ciudadano</t>
  </si>
  <si>
    <t>Porcentaje de implementación de las recomendaciones de la OCDE en materia de control interno</t>
  </si>
  <si>
    <t>Porcentaje de implementación de las estrategias GEL</t>
  </si>
  <si>
    <t xml:space="preserve">Implementar gestión estratégica del talento humano </t>
  </si>
  <si>
    <t>Modelos de evaluación orientados al cumplimiento de objetivos y metas institucionales implementados</t>
  </si>
  <si>
    <t>Porcentaje de implementación del Plan Estratégico de Empleo Público, que incluya las recomendaciones de la OCDE</t>
  </si>
  <si>
    <t>Tablas de retención documental implementadas</t>
  </si>
  <si>
    <t>Reportar información al SISPRO</t>
  </si>
  <si>
    <t>Reportes a SPI, con indicadores actualizados</t>
  </si>
  <si>
    <t>Índice de actualización de los indicadores del PND Sinergia</t>
  </si>
  <si>
    <t>Utilización del SECOP II</t>
  </si>
  <si>
    <t>Sistema de Información del Sistema de Compra público Implementado</t>
  </si>
  <si>
    <t>Fuente de Recursos</t>
  </si>
  <si>
    <t>Recursos Propios</t>
  </si>
  <si>
    <t xml:space="preserve">Inversión </t>
  </si>
  <si>
    <t>Administrados</t>
  </si>
  <si>
    <t>NA</t>
  </si>
  <si>
    <t xml:space="preserve">EFICACIA EN LA EJECUCIÓN DE ACTIVIDADES </t>
  </si>
  <si>
    <t>DESCRIPCIÓN PRODUCTO</t>
  </si>
  <si>
    <t>DESCRIPCIÓN ACTIVIDAD</t>
  </si>
  <si>
    <t>Observaciones</t>
  </si>
  <si>
    <t>PGN</t>
  </si>
  <si>
    <t>Porcentaje</t>
  </si>
  <si>
    <t>Numérico</t>
  </si>
  <si>
    <t>ADMINISTRADORA DE RECURSOS DEL SISTEMA GENERAL DE SEGURIDAD SOCIAL EN SALUD -ADRES-</t>
  </si>
  <si>
    <t xml:space="preserve">PLAN DE ACCIÓN </t>
  </si>
  <si>
    <t>Evaluar la gestión y resultados de los procesos de calidad de la Dependencia</t>
  </si>
  <si>
    <t>Remitir informes trimestrales de los indicadores formulados y las acciones de mejoras</t>
  </si>
  <si>
    <t>VALOR PROGRAMADO VIGENCIA</t>
  </si>
  <si>
    <t>VALOR PROGRAMADO</t>
  </si>
  <si>
    <t>12000-1</t>
  </si>
  <si>
    <t>12000-1-1</t>
  </si>
  <si>
    <t>Reporte Trimestral del Avance del PA</t>
  </si>
  <si>
    <t>Informes de seguimiento a la Ejecución del Plan de Acción</t>
  </si>
  <si>
    <t>Asesorar y apoyar en la implementación de MIPG</t>
  </si>
  <si>
    <t>Modelo Integrado de Planeación</t>
  </si>
  <si>
    <t># Informes Publicados / # Informes Proyectados a Publicar</t>
  </si>
  <si>
    <t>Elaboración del Informe de Rendición de Cuentas al Congreso de la República 2017-2018</t>
  </si>
  <si>
    <t>Informe al Congreso de la Republica</t>
  </si>
  <si>
    <t>Vigencia 2018</t>
  </si>
  <si>
    <t>OBJETIVO ESTRATEGICO</t>
  </si>
  <si>
    <t>CÓDIGO
OBJETIVO ESTRATEGICO</t>
  </si>
  <si>
    <t>12000-1-1-1</t>
  </si>
  <si>
    <t>Lograr calidad y oportunidad en los procesos de reconocimiento del aseguramiento, prestaciones excepcionales y de financiamiento a instituciones del sector salud.</t>
  </si>
  <si>
    <t>Optimizar los procesos de recaudo, administración y pago de los recursos que se canalizan a través de la Entidad.</t>
  </si>
  <si>
    <t>Proteger, gestionar y defender los recursos del SGSSS.</t>
  </si>
  <si>
    <t>Desarrollar e implementar herramientas de tecnología y financieras para el manejo y control de los recursos.</t>
  </si>
  <si>
    <t>Diseño y ejecución de estrategias de campaña Marketing para la ADRES.</t>
  </si>
  <si>
    <t>Estrategia de Comunicación y  Marketing de la Adres</t>
  </si>
  <si>
    <t>11300-1</t>
  </si>
  <si>
    <t>11300-1-1</t>
  </si>
  <si>
    <t>11200-2</t>
  </si>
  <si>
    <t>Realizar seguimiento y reporte del cumplimiento del Plan de Acción</t>
  </si>
  <si>
    <t>11200-2-1</t>
  </si>
  <si>
    <t>11200-2-1-1</t>
  </si>
  <si>
    <t>Formular los proceso y procedimientos en el marco del MIPG</t>
  </si>
  <si>
    <t>11300-2</t>
  </si>
  <si>
    <t>11300-2-2</t>
  </si>
  <si>
    <t>Procesos y Procedimientos</t>
  </si>
  <si>
    <t>11300-3</t>
  </si>
  <si>
    <t>11300-3-1</t>
  </si>
  <si>
    <t>Seguimiento Ejecución Presupuestal de recursos administrados URA</t>
  </si>
  <si>
    <t>Financiación UPC Régimen Contributivo SSF</t>
  </si>
  <si>
    <t>Financiación UPC Régimen Contributivo CSF</t>
  </si>
  <si>
    <t>Transferencias Entidades de Administración Publica Central</t>
  </si>
  <si>
    <t>Empresas Publicas nacionales No Financieras - ADRES</t>
  </si>
  <si>
    <t>Sentencias y Conciliaciones URA</t>
  </si>
  <si>
    <t>Incapacidades</t>
  </si>
  <si>
    <t>Licencias de Maternidad y Paternidad</t>
  </si>
  <si>
    <t>Financiación UPC Régimen Subsidiado CSF</t>
  </si>
  <si>
    <t>Financiación UPC Régimen Subsidiado - CCF - SSF</t>
  </si>
  <si>
    <t>Atención en salud, transporte primario, indemnizaciones y auxilios funerarios víctimas</t>
  </si>
  <si>
    <t>Devolución de Aportes y Cotizaciones no conciliadas de vigencias anteriores</t>
  </si>
  <si>
    <t>Rendimientos Financieros saldo de Aportes Patronales no compensados - Art, 12 Decreto 1363 de 2016</t>
  </si>
  <si>
    <t>Prestaciones Excepcionales - Recobros</t>
  </si>
  <si>
    <t>Fortalecimiento red de urgencias nacional, emergencias sanitarias y eventos catastróficos</t>
  </si>
  <si>
    <t>Otros programas de salud promoción y prevención</t>
  </si>
  <si>
    <t>Recursos con destinación especifica</t>
  </si>
  <si>
    <t>FONSAET</t>
  </si>
  <si>
    <t>Rendimientos Financieros cuentas de recaudo EPS - SSF</t>
  </si>
  <si>
    <t>Fortalecimientos Patrimonial a las Entidades del Sector salud</t>
  </si>
  <si>
    <t>Ejecución del Trimestre / Presupuesto Proyectado del Trimestre</t>
  </si>
  <si>
    <t>11400-1</t>
  </si>
  <si>
    <t>11400-2</t>
  </si>
  <si>
    <t>11400-1-1</t>
  </si>
  <si>
    <t>11400-2-1</t>
  </si>
  <si>
    <t>11400-2-2</t>
  </si>
  <si>
    <t>11400-3</t>
  </si>
  <si>
    <t>Proceso de Compensación</t>
  </si>
  <si>
    <t>No. de Procesos de Compensación Ejecutados</t>
  </si>
  <si>
    <t>Liquidación de la UPC de los Afiliados del Régimen Subsidiado</t>
  </si>
  <si>
    <t>11400-3-1</t>
  </si>
  <si>
    <t>Publicación Giro Directo Régimen Contributivo</t>
  </si>
  <si>
    <t>Publicación Giro Directo Régimen Subsidiado</t>
  </si>
  <si>
    <t>Prestaciones económicas REX</t>
  </si>
  <si>
    <t>Trámite de prestaciones económicas REX</t>
  </si>
  <si>
    <t>Trámite de devolución de aportes REX</t>
  </si>
  <si>
    <t>Informes de auditoría de reintegro de recursos</t>
  </si>
  <si>
    <t>Elaboración de Informes de auditoría de reintegro de recursos</t>
  </si>
  <si>
    <t>Saldos a favor de ADRES en el proceso LMA</t>
  </si>
  <si>
    <t>Solicitud de aclaraciones a las EPS con saldos a favor de ADRES en el proceso LMA</t>
  </si>
  <si>
    <t>Compra Directa de Cartera</t>
  </si>
  <si>
    <t>No. De Compras de Carteras realizadas</t>
  </si>
  <si>
    <t>Certificación descuento proceso LMA - Findeter línea compensada</t>
  </si>
  <si>
    <t>Certificaciones remitidas</t>
  </si>
  <si>
    <t>Certificación descuento proceso de compensación - Findeter línea compensada</t>
  </si>
  <si>
    <t>Certificación descuento proceso LMA - Compra de Cartera</t>
  </si>
  <si>
    <t>Certificación descuento proceso de compensación - Compra de Cartera</t>
  </si>
  <si>
    <t># Procesos de Compensación Ejecutados/ # Procesos de Compensación Programados en el Periodo</t>
  </si>
  <si>
    <t>2. Administración de Riesgos y MIPG</t>
  </si>
  <si>
    <t>3. Gestión de Recobros y Reclamaciones</t>
  </si>
  <si>
    <t>4. Gestión Presupuestal</t>
  </si>
  <si>
    <t>5. Gestión de Recaudo y Fuentes de Financiación</t>
  </si>
  <si>
    <t>6. Gestión Contable y Control Recursos E.T.</t>
  </si>
  <si>
    <t xml:space="preserve">7. Gestión de Pagos y Portafolio
</t>
  </si>
  <si>
    <t>8. Gestión Integral Régimen Contributivo</t>
  </si>
  <si>
    <t>9. Gestión de Contratación</t>
  </si>
  <si>
    <t>10. Gestión del Talento Humano</t>
  </si>
  <si>
    <t>11. Gestión Financiera General</t>
  </si>
  <si>
    <t>12. Gestión Servicio al Ciudadano</t>
  </si>
  <si>
    <t xml:space="preserve">13. Gestión Documental
</t>
  </si>
  <si>
    <t>14. Administración Logística</t>
  </si>
  <si>
    <t>15. Gestión Integral Régimen Subsidiado</t>
  </si>
  <si>
    <t>16. Reintegro de Recursos</t>
  </si>
  <si>
    <t>17. Fortalecimiento Financiero  a EPSs e IPSs</t>
  </si>
  <si>
    <t>18. Gestión de Operaciones de Sistemas de Información</t>
  </si>
  <si>
    <t xml:space="preserve">19. Gestión de Proyectos de Información </t>
  </si>
  <si>
    <t>20. Gestión Soporte a las Tecnologías</t>
  </si>
  <si>
    <t xml:space="preserve">21. Gestión Jurídica </t>
  </si>
  <si>
    <t>22. Control y Evaluación de las Gestión</t>
  </si>
  <si>
    <t># Procesos de LMA Ejecutados / # Procesos de LMA Programados en el Periodo</t>
  </si>
  <si>
    <t># Giros Directos Ejecutados y Publicados / # Giros Directos Programados en el Periodo y Publicados</t>
  </si>
  <si>
    <t>Giro Directo RC</t>
  </si>
  <si>
    <t>Giro Directo RS</t>
  </si>
  <si>
    <t># Solicitudes de Prestaciones Económicas Tramitadas / # Solicitudes de Prestaciones Económicas Presentadas</t>
  </si>
  <si>
    <t># Solicitudes Devolución Aportes REX Tramitadas / # Solicitudes Devolución Aportes Presentadas</t>
  </si>
  <si>
    <t>11400-3-1-1</t>
  </si>
  <si>
    <t># Solicitudes de Aclaración Enviadas a las EPS / EPS con Saldos a Favor de ADRES en el Proceso de LMA</t>
  </si>
  <si>
    <t>11400-11</t>
  </si>
  <si>
    <t>11400-12</t>
  </si>
  <si>
    <t>11400-13</t>
  </si>
  <si>
    <t>11400-14</t>
  </si>
  <si>
    <t xml:space="preserve">Estudios del Sector </t>
  </si>
  <si>
    <t>Elaboración de Estudios del Sector</t>
  </si>
  <si>
    <t>Realizar Informes de Ejecución Presupuestal</t>
  </si>
  <si>
    <t>Gestión de Recaudo</t>
  </si>
  <si>
    <t>Seguimiento e identificación del Recaudo</t>
  </si>
  <si>
    <t>Seguimiento a Partidas Sin Identificar</t>
  </si>
  <si>
    <t># Partidas Identificadas que no fueron identificadas en el mes anterior / # Partidas No identificadas en el mes anterior</t>
  </si>
  <si>
    <t>Ordenes de Giros tramitadas</t>
  </si>
  <si>
    <t>Ordenes de Giros</t>
  </si>
  <si>
    <t>Portafolio</t>
  </si>
  <si>
    <t>Boletines</t>
  </si>
  <si>
    <t>Estados Financieros</t>
  </si>
  <si>
    <t># Estados Financieros Presentados / # Estados Financieros Programados</t>
  </si>
  <si>
    <t>Garantizar la adecuación institucional mediante actividades transversales que complementen y sustenten el desempeño de los procesos misionales y estratégicos, así como el seguimiento continuo al cumplimiento de los objetivos de la Entidad.</t>
  </si>
  <si>
    <t>Informe Operaciones Reciprocas CGN</t>
  </si>
  <si>
    <t>Informe</t>
  </si>
  <si>
    <t>11500-1</t>
  </si>
  <si>
    <t>11500-2</t>
  </si>
  <si>
    <t>11500-2-1</t>
  </si>
  <si>
    <t>11500-2-2</t>
  </si>
  <si>
    <t>11500-3</t>
  </si>
  <si>
    <t>11500-3-1</t>
  </si>
  <si>
    <t>11500-3-1-1</t>
  </si>
  <si>
    <t>11600-1</t>
  </si>
  <si>
    <t>11600-2</t>
  </si>
  <si>
    <t>11600-1-1</t>
  </si>
  <si>
    <t>11600-2-1</t>
  </si>
  <si>
    <t>11600-2-2</t>
  </si>
  <si>
    <t>11600-1-1-1</t>
  </si>
  <si>
    <t>11600-2-1-1</t>
  </si>
  <si>
    <t>11600-2-2-1</t>
  </si>
  <si>
    <t>11500-2-1-1</t>
  </si>
  <si>
    <t>11500-2-2-1</t>
  </si>
  <si>
    <t>11500-1-1-1</t>
  </si>
  <si>
    <t>Impartir los lineamientos en materia tecnológica para definir políticas, estrategias y prácticas que soporten la gestión del Sector</t>
  </si>
  <si>
    <t>11600-3</t>
  </si>
  <si>
    <t>11600-3-1</t>
  </si>
  <si>
    <t>Desarrollo e implementación del PETI</t>
  </si>
  <si>
    <t>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</si>
  <si>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11600-3-1-1</t>
  </si>
  <si>
    <t>Adquisición de infraestructura tecnológica</t>
  </si>
  <si>
    <t>Gestionar y administrar los procesos de adquisición y actualización del licenciamiento, requerido para el desarrollo de las actividades de la Entidad.</t>
  </si>
  <si>
    <t>Renovación de licencias</t>
  </si>
  <si>
    <t>Brindar Soporte a usuario interno</t>
  </si>
  <si>
    <t>Adquisición de bienes y/o servicios para la seguridad de la información</t>
  </si>
  <si>
    <t>Brindar Soporte al procesos BDUA</t>
  </si>
  <si>
    <t>Brindar Soporte a los sistemas de información que respaldan los procesos misionales de ADRES</t>
  </si>
  <si>
    <t>11500-1-1</t>
  </si>
  <si>
    <t>11200-1</t>
  </si>
  <si>
    <t>11200-1-1-1</t>
  </si>
  <si>
    <t>11300-1-1-1</t>
  </si>
  <si>
    <t>11300-2-2-1</t>
  </si>
  <si>
    <t>11300-3-1-1</t>
  </si>
  <si>
    <t>11300-3-1-2</t>
  </si>
  <si>
    <t>11300-3-1-3</t>
  </si>
  <si>
    <t>11300-3-1-4</t>
  </si>
  <si>
    <t>11300-3-1-5</t>
  </si>
  <si>
    <t>11300-3-1-6</t>
  </si>
  <si>
    <t>11300-3-1-7</t>
  </si>
  <si>
    <t>11300-3-1-8</t>
  </si>
  <si>
    <t>11300-3-1-9</t>
  </si>
  <si>
    <t>11300-3-1-10</t>
  </si>
  <si>
    <t>11300-3-1-11</t>
  </si>
  <si>
    <t>11300-3-1-12</t>
  </si>
  <si>
    <t>11300-3-1-13</t>
  </si>
  <si>
    <t>11300-3-1-14</t>
  </si>
  <si>
    <t>11300-3-1-15</t>
  </si>
  <si>
    <t>11300-3-1-16</t>
  </si>
  <si>
    <t>11300-3-1-17</t>
  </si>
  <si>
    <t>11300-3-1-18</t>
  </si>
  <si>
    <t>11300-3-1-19</t>
  </si>
  <si>
    <t>11300-3-1-20</t>
  </si>
  <si>
    <t>11300-3-1-21</t>
  </si>
  <si>
    <t>11400-1-1-1</t>
  </si>
  <si>
    <t>11400-2-1-1</t>
  </si>
  <si>
    <t>11400-2-2-1</t>
  </si>
  <si>
    <t>11800-1</t>
  </si>
  <si>
    <t>11800-1-1</t>
  </si>
  <si>
    <t>11800-1-1-1</t>
  </si>
  <si>
    <t>11800-2</t>
  </si>
  <si>
    <t>11800-2-1</t>
  </si>
  <si>
    <t>11800-3-1</t>
  </si>
  <si>
    <t>11800-2-2</t>
  </si>
  <si>
    <t>11800-2-1-1</t>
  </si>
  <si>
    <t>11800-2-2-1</t>
  </si>
  <si>
    <t>11700-2</t>
  </si>
  <si>
    <t>11700-2-1</t>
  </si>
  <si>
    <t>11700-2-2</t>
  </si>
  <si>
    <t>11700-2-1-1</t>
  </si>
  <si>
    <t>11700-2-2-1</t>
  </si>
  <si>
    <t>11800-3</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</si>
  <si>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</si>
  <si>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</si>
  <si>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</si>
  <si>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grado de cumplimiento de las acciones que hacen parte del Plan de mejoramiento institucional derivadas de la Auditoría de la CGR.</t>
  </si>
  <si>
    <t>Comunicar mensajes con contenidos de autocontrol y de esta manera fomentar la cultura del autocontrol en la ADRES.</t>
  </si>
  <si>
    <t>11800-3-1-1</t>
  </si>
  <si>
    <t xml:space="preserve">(Número de actividades cumplidas / Número de actividades suscritas con la CGR)*100 </t>
  </si>
  <si>
    <t>(Cantidad de Mensajes de autocontrol del mes/12) *100</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</si>
  <si>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</si>
  <si>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</si>
  <si>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</si>
  <si>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11800-4</t>
  </si>
  <si>
    <t>11800-5</t>
  </si>
  <si>
    <t>11800-6</t>
  </si>
  <si>
    <t>11800-7</t>
  </si>
  <si>
    <t>Oficina Asesora Jurídica</t>
  </si>
  <si>
    <t>11900-1</t>
  </si>
  <si>
    <t>11900-2</t>
  </si>
  <si>
    <t>11900-1-1</t>
  </si>
  <si>
    <t>11900-2-1</t>
  </si>
  <si>
    <t>11900-2-2</t>
  </si>
  <si>
    <t>12000-2</t>
  </si>
  <si>
    <t>12000-2-1</t>
  </si>
  <si>
    <t>11900-3</t>
  </si>
  <si>
    <t>11900-3-1</t>
  </si>
  <si>
    <t>11900-3-1-1</t>
  </si>
  <si>
    <t># Tutela Tramitadas Oportunamente / # Tutelas Radicadas que Requieren Trámite</t>
  </si>
  <si>
    <t>11900-3-2</t>
  </si>
  <si>
    <t>Ejercer la defensa extrajudicial y judicial en los asuntos y/o procesos judiciales en que la ADRES es parte o vinculado.</t>
  </si>
  <si>
    <t>Atender las solicitudes de pruebas de los despachos judiciales o terceros intervinientes en el proceso judicial</t>
  </si>
  <si>
    <t xml:space="preserve">Atender las reclamaciones administrativas </t>
  </si>
  <si>
    <t>Recurrir los Actos Administrativos interpuestos por COLPENSIONES</t>
  </si>
  <si>
    <t>Representación  judicial - Procesos Administrativos</t>
  </si>
  <si>
    <t>Respuesta y trámite de pruebas atendidas</t>
  </si>
  <si>
    <t>Dar respuesta a las reclamaciones administrativas radicadas por las EPS o IPS dentro del término legal</t>
  </si>
  <si>
    <t>Interponer oportunamente los recursos de Ley contra los actos administrativos de Colpensiones que ordenan la devolución de aportes al extinto FOYSGA, hoy Administradora de los Recursos del Sistema General de Seguridad Social en Salud - ADRES</t>
  </si>
  <si>
    <t># Procesos contenciosos administrativos contestados oportunamente / # Procesos contenciosos administrativos notificados a la Entidad</t>
  </si>
  <si>
    <t>11900-3-3</t>
  </si>
  <si>
    <t>11900-3-4</t>
  </si>
  <si>
    <t>11900-3-5</t>
  </si>
  <si>
    <t>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t>
  </si>
  <si>
    <t>Ejercer la representación judicial en los procesos penales en que sea parte la Administradora de los Recursos del Sistema General de Seguridad Social en Salud – Administradora de los Recursos del Sistema General de Seguridad Social en Salud - ADRES.</t>
  </si>
  <si>
    <t>11700-2-3</t>
  </si>
  <si>
    <t>11700-2-3-1</t>
  </si>
  <si>
    <t>Efectuar los tramites asociados al pago de nomina de los funcionarios de la ADRES</t>
  </si>
  <si>
    <t>Valor pagado / Valor programado</t>
  </si>
  <si>
    <t>Seguimiento Ejecución Presupuestal de recursos administrados UGG</t>
  </si>
  <si>
    <t>Seguimiento a la ejecución presupuestal, PAC y Reservas</t>
  </si>
  <si>
    <t>Informes de seguimiento a la ejecución presupuestal, PAC y Reservas</t>
  </si>
  <si>
    <t>11700-2-4</t>
  </si>
  <si>
    <t>Número</t>
  </si>
  <si>
    <t>11700-2-5</t>
  </si>
  <si>
    <t>Informes Estados Financieros (Balance General y Estado de Resultados) de la UGG</t>
  </si>
  <si>
    <t>Estados Financieros (Balance General y Estado de Resultados) de la UGG</t>
  </si>
  <si>
    <t>11700-2-4-1</t>
  </si>
  <si>
    <t>11700-2-5-1</t>
  </si>
  <si>
    <t>Informes Operaciones Reciprocas</t>
  </si>
  <si>
    <t>11700-2-6</t>
  </si>
  <si>
    <t>11700-2-6-1</t>
  </si>
  <si>
    <t>Operaciones Reciprocas</t>
  </si>
  <si>
    <t>11700-2-7</t>
  </si>
  <si>
    <t>Cuentas de cobro generadas con los debidos soportes documentales</t>
  </si>
  <si>
    <t>11700-2-7-1</t>
  </si>
  <si>
    <t xml:space="preserve">Tramite de pago de las Cuentas de Cobro con Soportes Documentales radicadas en el mes </t>
  </si>
  <si>
    <t># Cuentas de Cobro con Soportes Documentales radicadas en el mes / # Pagos de las Cuentas de Cobro radicadas en el mes</t>
  </si>
  <si>
    <t>11700-2-8</t>
  </si>
  <si>
    <t>Trámite los Procesos  Precontractuales y Contractuales para la adquisición de Bienes y Servicios de conformidad con lo establecido en el Plan de Adquisiciones de la Dirección Administrativa y Financiera</t>
  </si>
  <si>
    <t>11700-2-9</t>
  </si>
  <si>
    <t># Procesos Contractuales Tramitados / # Procesos Incluidos en el Plan de Adquisiciones</t>
  </si>
  <si>
    <t>11700-2-8-1</t>
  </si>
  <si>
    <t>11700-2-9-1</t>
  </si>
  <si>
    <t>Trámites  Precontractuales y Contractuales Adelantados de conformidad con Plan de Adquisiciones de la Dirección.</t>
  </si>
  <si>
    <t># Procedimientos Aprobados / # Procedimientos Proyectados</t>
  </si>
  <si>
    <t>11700-2-10</t>
  </si>
  <si>
    <t>Sistema de nómina ( Solredes)</t>
  </si>
  <si>
    <t>11700-2-10-1</t>
  </si>
  <si>
    <t># Funcionarios Asistentes / # Funcionarios Convocados</t>
  </si>
  <si>
    <t># Encuestas Efectivas al Cumplimiento del Objetivo / # Encuestas de Satisfacciones Realizadas</t>
  </si>
  <si>
    <t>11700-2-11</t>
  </si>
  <si>
    <t>Salud Ocupacional</t>
  </si>
  <si>
    <t>11700-2-12</t>
  </si>
  <si>
    <t>11700-2-12-1</t>
  </si>
  <si>
    <t>11700-2-11-1</t>
  </si>
  <si>
    <t>Generar y Liquidar Nomina ADRES</t>
  </si>
  <si>
    <t>11700-2-13</t>
  </si>
  <si>
    <t>Archivo de Gestión Consolidado</t>
  </si>
  <si>
    <t>11700-2-13-1</t>
  </si>
  <si>
    <t>Expedición de Certificaciones de Personal</t>
  </si>
  <si>
    <t>11700-2-14</t>
  </si>
  <si>
    <t>11700-2-14-1</t>
  </si>
  <si>
    <t>Publicación Actos Administrativos Diario Oficial</t>
  </si>
  <si>
    <t>11700-2-15</t>
  </si>
  <si>
    <t>Funcionamiento Operativo de la ADRES</t>
  </si>
  <si>
    <t>11700-2-15-1</t>
  </si>
  <si>
    <t>Funcionamiento continuo de las instalaciones de la ADRES</t>
  </si>
  <si>
    <t>11700-2-16</t>
  </si>
  <si>
    <t xml:space="preserve">Suministro de Tiquetes Aéreos y Viatico </t>
  </si>
  <si>
    <t>11700-2-17</t>
  </si>
  <si>
    <t>11700-2-17-1</t>
  </si>
  <si>
    <t>Gestión de Correspondencia</t>
  </si>
  <si>
    <t xml:space="preserve">Garantizar la gestión de correspondencia de la entidad </t>
  </si>
  <si>
    <t>11900-3-6</t>
  </si>
  <si>
    <t>Representación  judicial - Demandas Laborales</t>
  </si>
  <si>
    <t># Demandas Laborales Contestadas Oportunamente / # Demandas Laborales Notificadas a la Entidad</t>
  </si>
  <si>
    <t># Solicitudes de pruebas atendidas / # Solicitudes de pruebas radicadas en la Entidad</t>
  </si>
  <si>
    <t>11900-3-7</t>
  </si>
  <si>
    <t># Reclamaciones administrativas atendidas oportunamente / # Reclamaciones administrativas radicadas en la Entidad</t>
  </si>
  <si>
    <t xml:space="preserve"># Recursos interpuestos oportunamente contra actos administrativos expedidos por Colpensiones / # Actos administrativos expedidos por Colpensiones notificados por aviso a </t>
  </si>
  <si>
    <t># Fichas técnicas de conciliación prejudicial presentadas a consideración del Comité de Conciliación / # Solicitudes de conciliación prejudicial radicadas en la Entidad</t>
  </si>
  <si>
    <t>11900-3-8</t>
  </si>
  <si>
    <t>Presentación de fichas técnicas de demandas ordinarias laborales  presentadas al Comité de Conciliación</t>
  </si>
  <si>
    <t># Fichas técnicas de demandas ordinarias laborales presentadas a consideración del Comité de Conciliación / # Demandas ordinarias laborales notificadas a la Entidad</t>
  </si>
  <si>
    <t># Solicitudes de embargo tramitadas oportunamente / # Solicitudes de embargo radicadas en la Entidad</t>
  </si>
  <si>
    <t>11900-3-9</t>
  </si>
  <si>
    <t xml:space="preserve">Emisión de Conceptos Jurídicos </t>
  </si>
  <si>
    <t>Depuración de Cartera FOSYGA y/o ADRES</t>
  </si>
  <si>
    <t>11900-3-10</t>
  </si>
  <si>
    <t>Venta de Cartera mayor a &gt;180 días con actos administrativos debidamente ejecutoriados a Central de Inversiones SA -CISA-</t>
  </si>
  <si>
    <t>Resoluciones de depuración de actos administrativos mediante los cuales se ordena el cobro a personas fallecidas</t>
  </si>
  <si>
    <t xml:space="preserve"># Reclamaciones Vendidas con mora mayor a 180 días / Reclamaciones contenidas actos administrativos ejecutoriados con mora mayor a 180 días </t>
  </si>
  <si>
    <t>Oficina Asesora de Planeación y Control de Riesgo</t>
  </si>
  <si>
    <t>Dirección de Liquidaciones y Garantías - Subdirección de Liquidaciones del Aseguramiento</t>
  </si>
  <si>
    <t>Dirección de Liquidaciones y Garantías - Subdirección de Garantías</t>
  </si>
  <si>
    <t>11700-2-16-1</t>
  </si>
  <si>
    <t>11900-3-2-1</t>
  </si>
  <si>
    <t>11900-3-4-1</t>
  </si>
  <si>
    <t>11900-3-5-1</t>
  </si>
  <si>
    <t>11900-3-6-1</t>
  </si>
  <si>
    <t>11900-3-7-1</t>
  </si>
  <si>
    <t>11900-3-9-1</t>
  </si>
  <si>
    <t>11900-3-10-3</t>
  </si>
  <si>
    <t>Dirección Otras Prestaciones</t>
  </si>
  <si>
    <t>Oficina Asesora Jurídica - Grupo de Acciones Constitucionales y Tutelas</t>
  </si>
  <si>
    <t>Oficina Asesora Jurídica - Grupo de Representación Judicial</t>
  </si>
  <si>
    <t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t>
  </si>
  <si>
    <t>Oficina Asesora Jurídica - Grupo de Cobro Coactivo</t>
  </si>
  <si>
    <t>Dirección Administrativa y Financiera - Grupo de Contratación</t>
  </si>
  <si>
    <t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t>
  </si>
  <si>
    <t xml:space="preserve">Realizar el estudio de seguridad, visita domiciliaria y verificación de la información de la Hoja de Vida y antecedentes financieros de los funcionarios de la entidad. </t>
  </si>
  <si>
    <t>Elaboración de solicitudes de aclaración sobre apropiaciones sin justa causa</t>
  </si>
  <si>
    <t># solicitudes de aclaración elaboradas/# EPS con hallazgos de apropiación sin justa causa</t>
  </si>
  <si>
    <t># Informes de Auditoría de Reintegro Elaborados / # EPS con Procedimiento de Reintegro de Recursos Iniciado</t>
  </si>
  <si>
    <t>Solicitudes de aclaración sobre apropiaciones sin justa causa</t>
  </si>
  <si>
    <t>Elaboración de comunicaciones con las conclusiones del procedimiento de la auditoría de reintegro de recursos</t>
  </si>
  <si>
    <t>Informes de comunicaciones con las conclusiones de la auditoría de reintegro de recursos enviados a la SNS</t>
  </si>
  <si>
    <t>11400-3-2</t>
  </si>
  <si>
    <t>11400-3-2-1</t>
  </si>
  <si>
    <t>11400-3-3</t>
  </si>
  <si>
    <t>11400-3-3-1</t>
  </si>
  <si>
    <t>11400-3-3-2</t>
  </si>
  <si>
    <t>11400-3-4</t>
  </si>
  <si>
    <t>11400-3-4-1</t>
  </si>
  <si>
    <t>11400-3-4-2</t>
  </si>
  <si>
    <t>11400-3-5</t>
  </si>
  <si>
    <t>11400-3-5-1</t>
  </si>
  <si>
    <t>11400-3-6</t>
  </si>
  <si>
    <t>11400-3-6-1</t>
  </si>
  <si>
    <t>11400-3-7</t>
  </si>
  <si>
    <t>11400-3-7-1</t>
  </si>
  <si>
    <t>11400-3-8</t>
  </si>
  <si>
    <t>11400-3-8-1</t>
  </si>
  <si>
    <t>11400-3-9</t>
  </si>
  <si>
    <t>11400-3-9-1</t>
  </si>
  <si>
    <t>11400-3-10</t>
  </si>
  <si>
    <t>11400-3-10-1</t>
  </si>
  <si>
    <t>11400-3-11</t>
  </si>
  <si>
    <t>11400-3-11-1</t>
  </si>
  <si>
    <t>11400-3-12</t>
  </si>
  <si>
    <t>11400-3-12-1</t>
  </si>
  <si>
    <t>11400-3-13</t>
  </si>
  <si>
    <t>11400-3-13-1</t>
  </si>
  <si>
    <t>11400-3-14</t>
  </si>
  <si>
    <t>11400-3-14-1</t>
  </si>
  <si>
    <t xml:space="preserve"># Comunicaciones con las conclusiones del procedimiento de la auditoría de reintegro de recursos elaborados/ # EPS con hallazgos de apropiación sin justa causa </t>
  </si>
  <si>
    <t># Compras de cartera realizadas/# Compras de carteras proyectadas</t>
  </si>
  <si>
    <t># Certificaciones remitidas/# Certificaciones proyectadas de acuerdo con el # de procesos en los que sea necesario aplicar</t>
  </si>
  <si>
    <t># Estudios realizados/# Estudios proyectados</t>
  </si>
  <si>
    <t>Dirección de Liquidación y Garantías</t>
  </si>
  <si>
    <t># Examenes Realizados / # Examenes Programados</t>
  </si>
  <si>
    <t>11600-3-2</t>
  </si>
  <si>
    <t>11600-3-2-1</t>
  </si>
  <si>
    <t>11600-3-6</t>
  </si>
  <si>
    <t>11600-3-3</t>
  </si>
  <si>
    <t>11600-3-3-1</t>
  </si>
  <si>
    <t>11600-3-4</t>
  </si>
  <si>
    <t>11600-3-4-1</t>
  </si>
  <si>
    <t>11600-3-5</t>
  </si>
  <si>
    <t>11600-3-5-1</t>
  </si>
  <si>
    <t>11600-3-6-1</t>
  </si>
  <si>
    <t>11600-3-7</t>
  </si>
  <si>
    <t>11600-3-7-1</t>
  </si>
  <si>
    <t>11600-3-8</t>
  </si>
  <si>
    <t>11600-3-8-1</t>
  </si>
  <si>
    <t>11600-3-9</t>
  </si>
  <si>
    <t>11600-3-9-1</t>
  </si>
  <si>
    <t>11500-3-2</t>
  </si>
  <si>
    <t>11500-3-2-1</t>
  </si>
  <si>
    <t>11500-3-3</t>
  </si>
  <si>
    <t>11500-3-3-1</t>
  </si>
  <si>
    <t>11500-3-4</t>
  </si>
  <si>
    <t>11500-3-4-1</t>
  </si>
  <si>
    <t>11500-3-5</t>
  </si>
  <si>
    <t>11500-3-5-1</t>
  </si>
  <si>
    <t>11500-3-6</t>
  </si>
  <si>
    <t>11500-3-6-1</t>
  </si>
  <si>
    <t>12000-2-1-1</t>
  </si>
  <si>
    <t>12000-2-2</t>
  </si>
  <si>
    <t>12000-2-2-1</t>
  </si>
  <si>
    <t>12000-2-3</t>
  </si>
  <si>
    <t>12000-2-3-1</t>
  </si>
  <si>
    <t>11900-1-1-1</t>
  </si>
  <si>
    <t>11900-2-1-1</t>
  </si>
  <si>
    <t>Dirección Administrativa y Financiera - Grupo de Talento Humano</t>
  </si>
  <si>
    <t>11900-3-3-1</t>
  </si>
  <si>
    <t>11900-3-8-1</t>
  </si>
  <si>
    <t>11900-3-10-1</t>
  </si>
  <si>
    <t>11900-3-10-2</t>
  </si>
  <si>
    <t>Conceptos</t>
  </si>
  <si>
    <t>11800-3-2</t>
  </si>
  <si>
    <t>11800-3-2-1</t>
  </si>
  <si>
    <t>11800-3-3</t>
  </si>
  <si>
    <t>11800-3-3-1</t>
  </si>
  <si>
    <t>11800-3-4</t>
  </si>
  <si>
    <t>11800-3-5</t>
  </si>
  <si>
    <t>11800-3-4-1</t>
  </si>
  <si>
    <t>11800-3-5-1</t>
  </si>
  <si>
    <t>11900-2-2-1</t>
  </si>
  <si>
    <t>Prestaciones Económicas Regímenes Especiales de Excepción</t>
  </si>
  <si>
    <t>Implementar estrategias, instrumentos y herramientas con aplicación de tecnologías de la información y las comunicaciones para brindar de manera constante y permanente un buen servicio al ciudadano y a las entidades del Sector.</t>
  </si>
  <si>
    <t>Elaborar las constancias de Archivos  y/o actas de liquidaciones de los procesos contractuales</t>
  </si>
  <si>
    <t xml:space="preserve">No de Actos de cierre y/ o liquidaciones elaboradas / No. De Contratos terminados. </t>
  </si>
  <si>
    <t>Realización de Exámenes de Salud Ocupacional (pre-ocupacionales, exámenes médicos post-ocupacionales y exámenes médicos post-incapacidad)</t>
  </si>
  <si>
    <t>Consolidar y organizar el archivo e gestión asociado a la nomina de la ADRES.</t>
  </si>
  <si>
    <t>Publicación Diario Oficial</t>
  </si>
  <si>
    <t>Trámites de Embargos</t>
  </si>
  <si>
    <t>VALOR ASIGNADO PARA EL DESARROLLO DE LA ACTIVIDAD</t>
  </si>
  <si>
    <t># Indicadores Medidos / # Indicadores Sujetos de Medición</t>
  </si>
  <si>
    <t>Administración y Custodia del Portafolio de Inversión</t>
  </si>
  <si>
    <t xml:space="preserve">Suministro de Tiquetes Aéreos y Viaticos </t>
  </si>
  <si>
    <t>Per capita Programas de Promoción y Prevención</t>
  </si>
  <si>
    <t>Publicación  Ejecución Presupuestal</t>
  </si>
  <si>
    <t>Informe Mensual de Recaudo Efectivo</t>
  </si>
  <si>
    <t>11300-2-1</t>
  </si>
  <si>
    <t>11300-2-1-1</t>
  </si>
  <si>
    <t>11300-3-2</t>
  </si>
  <si>
    <t>11300-3-2-1</t>
  </si>
  <si>
    <t>11300-3-3</t>
  </si>
  <si>
    <t>11300-3-3-1</t>
  </si>
  <si>
    <t>11300-3-3-2</t>
  </si>
  <si>
    <t>11300-3-3-3</t>
  </si>
  <si>
    <t>11300-3-4</t>
  </si>
  <si>
    <t>11300-3-4-1</t>
  </si>
  <si>
    <t>11300-3-5</t>
  </si>
  <si>
    <t>11300-3-5-1</t>
  </si>
  <si>
    <t>11300-3-6</t>
  </si>
  <si>
    <t>11300-3-6-1</t>
  </si>
  <si>
    <t>11300-3-7</t>
  </si>
  <si>
    <t>11300-3-7-1</t>
  </si>
  <si>
    <t>11300-3-8</t>
  </si>
  <si>
    <t>11300-3-8-1</t>
  </si>
  <si>
    <t># Recaudos Identificados / # Total de Recaudo Recibido en el Trimestre</t>
  </si>
  <si>
    <t># Ordenes Giradas / # Giradas Tramitadas</t>
  </si>
  <si>
    <t># Boletines Realizados / # Boletines Proyectados del Periodo</t>
  </si>
  <si>
    <t>No. de Procesos de LMA Ejecutados</t>
  </si>
  <si>
    <t>Formular los procesos y procedimientos en el marco del MIPG</t>
  </si>
  <si>
    <t>Remitir informe trimestral de los indicadores formulados y las acciones de mejoras</t>
  </si>
  <si>
    <t>Proceso de Giro Previo realizado a favor de las entidades recobrantes y proveedores servicios y tecnologías no incluidas en el PB con cargo a la UPC</t>
  </si>
  <si>
    <t>Realizar el giro previo efectuados a favor de las entidades recobrantes y proveedores de servicios y tecnologías no incluidas en el PB con cargo a la UPC</t>
  </si>
  <si>
    <t>Paquetes de recobros cuyo trámite de auditoría haya culminado, reconocidos y pagados por parte de ADRES.</t>
  </si>
  <si>
    <t>Paquetes de recobros cuyo trámite de auditoría haya culminado, para el trámite de reconocimiento y pago por parte de ADRES.</t>
  </si>
  <si>
    <t>Giro Directo del giro previo publicados</t>
  </si>
  <si>
    <t>Numerico</t>
  </si>
  <si>
    <t>Publicación del Giro Directo del giro previo</t>
  </si>
  <si>
    <t>Informe de supervisión realizados en el período</t>
  </si>
  <si>
    <t>Realizar infomes de supervisión en el período</t>
  </si>
  <si>
    <t xml:space="preserve">Boletines con resultados del proceso de reconocimiento y pago de recobros por concepto de servicios y tecnologías no cubiertos por el plan de beneficios con cargo a la UPC </t>
  </si>
  <si>
    <t xml:space="preserve">Realizar boletines con resultados del proceso de reconocimiento y pago de recobros por concepto de servicios y tecnologías no cubiertos por el plan de beneficios con cargo a la UPC </t>
  </si>
  <si>
    <t>11500-4</t>
  </si>
  <si>
    <t>Apoyos técnicos entregados a la OAJ en recobros y reclamaciones una vez son resueltos por la Dirección de Tecnología de la Información</t>
  </si>
  <si>
    <t>Entregar apoyos técnicos a la OAJ en recobros y reclamaciones una vez son resueltos por la Dirección de Tecnología de la Información</t>
  </si>
  <si>
    <t>Paquetes de reclamaciones pagados de acuerdo con lo definido en la normativa vigente</t>
  </si>
  <si>
    <t>Pagar paquetes de reclamaciones de acuerdo con lo definido en la normativa vigente</t>
  </si>
  <si>
    <t>Boletines con resultados del proceso reclamaciones</t>
  </si>
  <si>
    <t>Generar boletines con resultados del proceso reclamaciones</t>
  </si>
  <si>
    <t>11500-3-7</t>
  </si>
  <si>
    <t>11500-3-8</t>
  </si>
  <si>
    <t>11500-3-7-1</t>
  </si>
  <si>
    <t>11500-3-8-1</t>
  </si>
  <si>
    <t># Informes de supervisión realizados en el período / # Informes de supervisión proyectados</t>
  </si>
  <si>
    <t># Boletines realizados</t>
  </si>
  <si>
    <t># Apoyos Técnicos Entregados a la OAJ / # Apoyos Técnicos resueltos por la Direccion de Tecnología</t>
  </si>
  <si>
    <t>Dirección de Otras Prestaciones</t>
  </si>
  <si>
    <t># Ejecuciones Presupuestales Publicadas</t>
  </si>
  <si>
    <t># Estados Financieros Presentados</t>
  </si>
  <si>
    <t xml:space="preserve"># Informes Publicados </t>
  </si>
  <si>
    <t>11700-2-10-2</t>
  </si>
  <si>
    <t>11700-2-13-2</t>
  </si>
  <si>
    <t># Informes reportados</t>
  </si>
  <si>
    <t># Procedimientos Aprobados / # Procedimientos identificados</t>
  </si>
  <si>
    <t>Documento del PETI aprobado y entregado</t>
  </si>
  <si>
    <t>(Valor pagado / (Valor programado-penalizaciones))</t>
  </si>
  <si>
    <t>Implementación de estrategias, instrumentos y herramientas</t>
  </si>
  <si>
    <t># herramientas, instrumentos y/o herramientas implementados / # herramientas, instrumentos y/o herramientas requeridos</t>
  </si>
  <si>
    <t>Desarrollo de nuevos Sistemas de información</t>
  </si>
  <si>
    <t># sistemas de información desarrollados / # sistemas de información requieridos</t>
  </si>
  <si>
    <t>11600-3-10</t>
  </si>
  <si>
    <t xml:space="preserve">Arrendamiento de Equipos de Computo </t>
  </si>
  <si>
    <t>11600-3-10-1</t>
  </si>
  <si>
    <t>Suministro de Equipos de Computo a la ADRES</t>
  </si>
  <si>
    <t>No. De documentos radicados y gestionados/No. De documentos recibidos</t>
  </si>
  <si>
    <t>11700-2-18</t>
  </si>
  <si>
    <t>11700-2-18-1</t>
  </si>
  <si>
    <t>Custodia documental y atención de consultas</t>
  </si>
  <si>
    <t xml:space="preserve">Prestar los servicios especializados en gestión documental de administración, custodia, conservación, consulta, préstamo en sooporte físico y magnético </t>
  </si>
  <si>
    <t>No. De consultas gestionadas/No. De consultas realizadas</t>
  </si>
  <si>
    <t xml:space="preserve">Garantizar la Integridad, custodia, consulta y gestión de la documentación  de la entidad </t>
  </si>
  <si>
    <t>11700-2-19</t>
  </si>
  <si>
    <t>11700-2-19-1</t>
  </si>
  <si>
    <t>Fortalecimiento de canales de atención al ciudadano con el fin de brindar la atención, respuesta inmediata, seguimiento a solicitudes de los ciudadanos, empresas y servidores públicos. Call Center .</t>
  </si>
  <si>
    <t>Garantizar la gestión de Servicio al ciudadano de la entidad  por los diferentes canales  de atención.</t>
  </si>
  <si>
    <t xml:space="preserve"># de consultas y orientaciones resueltas/# consultas y orientaciones atendidas </t>
  </si>
  <si>
    <t xml:space="preserve">Garantizar la gestión de Servicio al ciudadano de la entidad  por los diferentes canales  de atención.. </t>
  </si>
  <si>
    <t>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t>
  </si>
  <si>
    <t>Valor pagado/Valor proyectado</t>
  </si>
  <si>
    <t># de nóminas generadas</t>
  </si>
  <si>
    <t>Porcentual</t>
  </si>
  <si>
    <t>Realizar capacitación y fortalecimiento de las competencias laborales de los funcionarios</t>
  </si>
  <si>
    <t>Plan de capacitación</t>
  </si>
  <si>
    <t>Plan de Bienestar</t>
  </si>
  <si>
    <t>Realizar actividades para fortalecer la calidad de vida de los servidores públicos de la entidad, así como el clima organizacional</t>
  </si>
  <si>
    <t># Capacitaciones Ejecutadas</t>
  </si>
  <si>
    <t>11700-2-20</t>
  </si>
  <si>
    <t>11700-2-20-1</t>
  </si>
  <si>
    <t>Liquidación y seguimiento novedades de nómina</t>
  </si>
  <si>
    <t>11700-2-21-1</t>
  </si>
  <si>
    <t>11700-2-21</t>
  </si>
  <si>
    <t># Actos Administrativos Publicados / # Actos Administrativos Recibidos para  Publicar</t>
  </si>
  <si>
    <t>Estudio de seguridad hojas de vida</t>
  </si>
  <si>
    <t># procedimientos Aprobados / # Procedimientos identificados</t>
  </si>
  <si>
    <t xml:space="preserve"># Procesos de Ordenación de gasto del Giro previo </t>
  </si>
  <si>
    <t># De ordenaciones realizadas de paquetes de recobros MYT0102 con resultado de auditoría culminado/ # Paquetes MYT0102 cuyo tramite de auditoria haya culminado</t>
  </si>
  <si>
    <t># publicaciones de Giros Directos efectuados</t>
  </si>
  <si>
    <t># De ordenaciones de paquetes de reclamaciones con resultado de auditoría culminado / # Paquetes cuyo tramite de auditoría haya culminado</t>
  </si>
  <si>
    <t xml:space="preserve">Formular los proceso y procedimientos en el marco del MIPG
</t>
  </si>
  <si>
    <t>Programa de auditorías internas de la OCI</t>
  </si>
  <si>
    <t>Entrega de informes de seguimiento de carácter interno en el marco de la normatividad vigente</t>
  </si>
  <si>
    <t>Entrega de informes a organismos externos en el marco de la normatividad vigente</t>
  </si>
  <si>
    <t>Seguimiento al Plan de Mejoramiento suscrito con la CGR-</t>
  </si>
  <si>
    <t>Actividades de promoción del  autocontrol para los funcionarios de ADRES.</t>
  </si>
  <si>
    <t xml:space="preserve">Reportar el cumplimiento de la ejecución del Plan de Acción </t>
  </si>
  <si>
    <t>Cumplimiento del Plan de Acción de la Depenencia</t>
  </si>
  <si>
    <t xml:space="preserve">
Reportar  trimestralmente el cumplimiento del Plan de Acción de la Dependencia</t>
  </si>
  <si>
    <t>Procesos y Procedimientos formulados</t>
  </si>
  <si>
    <t>Indicadores  y  acciones de mejora formulados</t>
  </si>
  <si>
    <t>Evaluar la gestión y resultados de los procesos de calidad de la Dependencia y remitir informes trimestrales de los indicadores formulados y las acciones de mejoras</t>
  </si>
  <si>
    <t xml:space="preserve"> Informes de respuestas a las acciones constitucionales  y de  tutelas </t>
  </si>
  <si>
    <t>Atender las solicitudes de informes derivadas de acciones constitucionales y tutelas</t>
  </si>
  <si>
    <t>Fichas técnicas de conciliaciones prejudiciales presentadas a consideración del Comité de Conciliación</t>
  </si>
  <si>
    <t>11900-3-11</t>
  </si>
  <si>
    <t>11900-3-11-1</t>
  </si>
  <si>
    <t># Fichas técnicas demandas ordinarias laborales presentadas a consideración del Comité de Conciliación / # Demandas ordinarias laborales notificadas a la Entidad dentro del periodo</t>
  </si>
  <si>
    <t># Reclamaciones administrativas atendidas en el periodo de acuerdo con los plazos establecidos (1 mes) / # Reclamaciones administrativas radicadas en la Entidad con una antelación de un mes a la finalización del periodo</t>
  </si>
  <si>
    <t># Recursos interpuestos oportunamente contra actos administrativos expedidos por Colpensiones / # Actos administrativos expedidos por Colpensiones notificados por aviso a la Entidad</t>
  </si>
  <si>
    <t xml:space="preserve">Solicitudes de embargos </t>
  </si>
  <si>
    <t># Solicitudes de embargo tramitadas oportunamente / # Solicitudes de embargo radicadas en la Entidad dentro del periodo</t>
  </si>
  <si>
    <t>Informe de identificación de  reclamaciones contenidas en actos administrativos debidamente ejecutoriados y con mora mayor a 180 días</t>
  </si>
  <si>
    <t>Cobro persuasivo de cartera por concepto de accidentes de transito, donde el vehículo involucrando carecida de SOAT</t>
  </si>
  <si>
    <t>11900-3-13</t>
  </si>
  <si>
    <t xml:space="preserve">
Expedición actos administrativos nuevos ordenando el cobro.</t>
  </si>
  <si>
    <t># Actos Administrativos Expedidos / # Reclamaciones Pagadas por concepto de accidentes de transito sin SOAT</t>
  </si>
  <si>
    <t>Cobro coactivo de cartera por concepto de accidentes de transito, donde el vehículo involucrando carecida de SOAT</t>
  </si>
  <si>
    <t>Adelantar proceso coactivo a partir de la  ejecutoria del acto administrarivo que ordenó el cobro.</t>
  </si>
  <si>
    <t># Mandamientos de Pago / # de Actos Administrativos Ejecutoriados</t>
  </si>
  <si>
    <t>11900-3-13-1</t>
  </si>
  <si>
    <t>11900-3-14-1</t>
  </si>
  <si>
    <t>Vigilancia judicial</t>
  </si>
  <si>
    <t>11900-3-15</t>
  </si>
  <si>
    <t>11900-3-15-1</t>
  </si>
  <si>
    <t>Recursos de casación, asesorías y representación judicial</t>
  </si>
  <si>
    <t>Procesos penales</t>
  </si>
  <si>
    <t># procesos penales en los que el apoderado adelantó actuación judicial / # procesos penales en los que es parte, tercero interviniente o víctima la ADRES</t>
  </si>
  <si>
    <t>Conciliaciones Prejudiciales y judiciales</t>
  </si>
  <si>
    <t>11700-2-22-1</t>
  </si>
  <si>
    <t>Valor estimado dado que se gestiona a demanda</t>
  </si>
  <si>
    <t>11900-3-7-2</t>
  </si>
  <si>
    <t>11900-3-12</t>
  </si>
  <si>
    <t>11900-3-12-1</t>
  </si>
  <si>
    <t>11900-3-14</t>
  </si>
  <si>
    <t>Etiquetas de fila</t>
  </si>
  <si>
    <t>Total general</t>
  </si>
  <si>
    <t>Total Dirección Administrativa y Financiera</t>
  </si>
  <si>
    <t>Total Dirección de Gestión de Recursos Financieros de Salud</t>
  </si>
  <si>
    <t>Total Dirección de Gestión de Tecnología de la Información y la Comunicación</t>
  </si>
  <si>
    <t>Total Dirección de Liquidaciones y Garantías</t>
  </si>
  <si>
    <t xml:space="preserve">Total Dirección de Otras Prestaciones  </t>
  </si>
  <si>
    <t>Total Dirección General</t>
  </si>
  <si>
    <t>Total Oficina Asesora de Planeación y Control de Riegos</t>
  </si>
  <si>
    <t>Total Oficina Asesora Jurídica</t>
  </si>
  <si>
    <t>Total Oficina de Control Interno</t>
  </si>
  <si>
    <t>Suma de VALOR ASIGNADO PARA EL DESARROLLO DE LA ACTIVIDAD</t>
  </si>
  <si>
    <t>Plan de Adquisiciones publicado WEB</t>
  </si>
  <si>
    <t xml:space="preserve">Suma de Valor total estimado </t>
  </si>
  <si>
    <t xml:space="preserve">Oficina Control Interno </t>
  </si>
  <si>
    <t>(en blanco)</t>
  </si>
  <si>
    <t>,</t>
  </si>
  <si>
    <t>SEMÁFORO EFICACIA EN LA EJECUCIÓN DE ACTIVIDADES</t>
  </si>
  <si>
    <t>No Prog ni Ejec</t>
  </si>
  <si>
    <t>No programado ni Ejecutado</t>
  </si>
  <si>
    <t>No Prog, Ejec=</t>
  </si>
  <si>
    <t>No programado pero con Ejecución</t>
  </si>
  <si>
    <t xml:space="preserve">0% &lt;= 79% </t>
  </si>
  <si>
    <t xml:space="preserve">Cumplió Parcialmente    </t>
  </si>
  <si>
    <t xml:space="preserve">80% &lt;=99% </t>
  </si>
  <si>
    <t xml:space="preserve">Avanzo Sustancialmente </t>
  </si>
  <si>
    <t xml:space="preserve">Cumplió  </t>
  </si>
  <si>
    <t>&gt;100%</t>
  </si>
  <si>
    <t xml:space="preserve">Sobre ejecutado </t>
  </si>
  <si>
    <t>11700-2-2-5</t>
  </si>
  <si>
    <t>Efectuar los tramites asociados al pago de las Transferencias de la ADRES</t>
  </si>
  <si>
    <t>11700-2-2-6</t>
  </si>
  <si>
    <t>Efectuar los tramites asociados a la ejecución de otros recursos asignados a la ADRES</t>
  </si>
  <si>
    <t xml:space="preserve">Publicación Diario Oficial y diario de Amplia Circulación </t>
  </si>
  <si>
    <t>Publicación Actos Administrativos Diario Oficial y diario de amplia circulación</t>
  </si>
  <si>
    <t>Per cápita Programas de Promoción y Prevención</t>
  </si>
  <si>
    <t>Realizar informes de supervisión en el período</t>
  </si>
  <si>
    <t># Apoyos Técnicos Entregados a la OAJ / # Apoyos Técnicos resueltos por la Dirección de Tecnología</t>
  </si>
  <si>
    <t># sistemas de información desarrollados / # sistemas de información requeridos</t>
  </si>
  <si>
    <t xml:space="preserve">Suministro de Tiquetes Aéreos y Viáticos </t>
  </si>
  <si>
    <t xml:space="preserve">Prestar los servicios especializados en gestión documental de administración, custodia, conservación, consulta, préstamo en soporte físico y magnético </t>
  </si>
  <si>
    <t>Cumplimiento del Plan de Acción de la Dependencia</t>
  </si>
  <si>
    <t>Adelantar proceso coactivo a partir de la  ejecutoria del acto administrativo que ordenó el cobro.</t>
  </si>
  <si>
    <t># conceptos emitidos / # conceptos requeridos</t>
  </si>
  <si>
    <t>VIGENCIA 2018</t>
  </si>
  <si>
    <t xml:space="preserve">Informes de respuestas a las acciones constitucionales  y de  tutelas </t>
  </si>
  <si>
    <t xml:space="preserve">DESCRIPCIÓN ACTIVIDAD </t>
  </si>
  <si>
    <t>Incluye $20,000,000 de capacitación, que en el presupuesto se identifican en el rubro de capacitación y bienestar social</t>
  </si>
  <si>
    <t>OBSERVACIONES</t>
  </si>
  <si>
    <t>AVANCES PRIMER TRIMESTRE</t>
  </si>
  <si>
    <t>AVANCES TERCER TRIMESTRE</t>
  </si>
  <si>
    <t>AVANCES SEGUNDO TRIMESTRE</t>
  </si>
  <si>
    <t>AVANCES CUARTO TRIMESTRE</t>
  </si>
  <si>
    <t>AVANCE ACUMILADO</t>
  </si>
  <si>
    <t xml:space="preserve">76% &lt;=95% </t>
  </si>
  <si>
    <t>95 &lt;=100%</t>
  </si>
  <si>
    <t xml:space="preserve">0% &lt;= 50% </t>
  </si>
  <si>
    <t>51% &lt;=75%</t>
  </si>
  <si>
    <t xml:space="preserve">Avance deficiente    </t>
  </si>
  <si>
    <t>RESULTADOS TRIMESTRALES CONSOLIDADOS (2018)</t>
  </si>
  <si>
    <t>RESULTADOS TRIMESTRALES CONSOLIDADOS (2019)</t>
  </si>
  <si>
    <t>RESULTADOS TRIMESTRALES CONSOLIDADOS (2020)</t>
  </si>
  <si>
    <t>RESULTADOS TRIMESTRALES CONSOLIDADOS (2021)</t>
  </si>
  <si>
    <t>PERSPECTIVA</t>
  </si>
  <si>
    <t>marzo</t>
  </si>
  <si>
    <t>Junio</t>
  </si>
  <si>
    <t>Diciembre</t>
  </si>
  <si>
    <t>DETALLES FICHA TÉCNICA</t>
  </si>
  <si>
    <t>Septiebre</t>
  </si>
  <si>
    <t>FINANCIERA</t>
  </si>
  <si>
    <t>N.A</t>
  </si>
  <si>
    <t>PROCESOS INTERNOS</t>
  </si>
  <si>
    <t>APRENDIZAJE Y DESARROLLO</t>
  </si>
  <si>
    <t>OBJETIVO/LINEAMIENTO ESTRATÉGICO</t>
  </si>
  <si>
    <t>RESPONSABLE</t>
  </si>
  <si>
    <t>PRODUCTO</t>
  </si>
  <si>
    <t>CUMPLIMIENTO OBJETIVO EN LA PERSPECTIVA FINANCIERA (Promedio porcentual)</t>
  </si>
  <si>
    <t>CUMPLIMIENTO PERSPECTIVA FINANCIERA (Promedio porcentual)</t>
  </si>
  <si>
    <t>CUADRO DE MANDO INTEGRAL</t>
  </si>
  <si>
    <t>% 
Cumplimiento Acumulado</t>
  </si>
  <si>
    <t>Resultado Marzo</t>
  </si>
  <si>
    <t>Resultado Junio</t>
  </si>
  <si>
    <t>Resultado Septiembre</t>
  </si>
  <si>
    <t>Resultado Diciembre</t>
  </si>
  <si>
    <t xml:space="preserve">DETALLES </t>
  </si>
  <si>
    <t>ENFOQUE DEL CLIENTE Y OTRAS PARTES INTERESADAS</t>
  </si>
  <si>
    <t># Autos de Cierre y/ o Liquidaciones Elaboradas / # Contratos Terminados</t>
  </si>
  <si>
    <t>CUMPLIMIENTO OBJETIVO EN LA PERSPECTIVA DE ENFOQUE AL CLIENTE Y OTRAS PARTES INTERESADAS (Promedio porcentual)</t>
  </si>
  <si>
    <t>CUMPLIMIENTO PERSPECTIVA DE ENFOQUE AL CLIENTE Y OTRAS PARTES INTERESADAS (Promedio porcentual)</t>
  </si>
  <si>
    <t>CUMPLIMIENTO OBJETIVO EN LA PERSPECTIVA DE PROCESOS INTERNOS (Promedio porcentual)</t>
  </si>
  <si>
    <t>CUMPLIMIENTO PERSPECTIVA DE PROCESOS INTERNOS (Promedio porcentual)</t>
  </si>
  <si>
    <t>CUMPLIMIENTO OBJETIVO EN LA PERSPECTIVA DE APRENDIZAJE Y DESARROLLO (Promedio porcentual)</t>
  </si>
  <si>
    <t>CUMPLIMIENTO PERSPECTIVA DE APRENDIZAJE Y DESARROLLO (Promedio porcentual)</t>
  </si>
  <si>
    <t>CUMPLIMIENTO GENERAL (Promedio porcentual)</t>
  </si>
  <si>
    <t>Ejecución presupuestal</t>
  </si>
  <si>
    <t>CUMPLIMIENTO OBJETIVO EN LA PERSPECTIVA DE ENFOQUE AL CLIENTE Y OTRAS PARTES INTERESADAS 
(Promedio porcentual)</t>
  </si>
  <si>
    <t>% 
Cumplimiento Acumulado Marzo</t>
  </si>
  <si>
    <t>% 
Cumplimiento Acumulado Junio</t>
  </si>
  <si>
    <t>% 
Cumplimiento Acumulado Septiembre</t>
  </si>
  <si>
    <t>% 
Cumplimiento Acumulado Diciembre</t>
  </si>
  <si>
    <t>11700-2-22</t>
  </si>
  <si>
    <t>11200-1-1</t>
  </si>
  <si>
    <t>Expedientes de hojas de vida consolidados, organizados y actualizados</t>
  </si>
  <si>
    <t>Consolidar, organizar y actualizar los expedientes de hojas de vida de los funcionarios de planta de la ADRES</t>
  </si>
  <si>
    <t># Obligaciones cumplidas en el período /# Obligaciones establecidas en el CPS 0014 de 2018</t>
  </si>
  <si>
    <t># Expedientes de hojas de vida consolidados, organizados y actualizados / # Funcionarios activos en el periodo</t>
  </si>
  <si>
    <t>CUMPLIMIENTO POR DEPENDENCIAS</t>
  </si>
  <si>
    <t>CUMPLIMIENTO CONSOLIDADO POR PERSPECTIVA</t>
  </si>
  <si>
    <t>Financiera</t>
  </si>
  <si>
    <t>Enforque al Cliente y/o Partes Interesadas</t>
  </si>
  <si>
    <t>Procesos Internos</t>
  </si>
  <si>
    <t xml:space="preserve">Aprendizaje y Desarrollo </t>
  </si>
  <si>
    <t>Dirección de Gestión de Recursos Financieros de la Salud</t>
  </si>
  <si>
    <t>Dirección de Tecnologías de la Información y las Comunicaciones</t>
  </si>
  <si>
    <t>Oficina Asesora de Planeación y Control de Riesgos</t>
  </si>
  <si>
    <t>DEPENDENCIAS</t>
  </si>
  <si>
    <t>Monto de venta de cartera a CISA / Monto de cartera por reclamaciones mayor a 180 días vendida</t>
  </si>
  <si>
    <t># de actos administrativos proferidos / # fallecidos, incobrables, cancelados y revocados resultado del proceso de depuración</t>
  </si>
  <si>
    <t>Actos administrativos mediante los cuales se establecen los fallecidos, incobrables, cancelados y revocados, recultado del proceso de depuración</t>
  </si>
  <si>
    <t xml:space="preserve">
Expedición actos administrativos iniciales ordenando el cobro.</t>
  </si>
  <si>
    <t>La meta de este indicador se estableció teniendo en cuenta que en la pasada venta de cartera a CISA, esta entidad compró en $67.000.000 la cartera que ascendía a $4.000.000.000</t>
  </si>
  <si>
    <t>Proceso inicial de cobro por concepto de accidentes de transito, donde el vehículo involucrando carecía de SOAT</t>
  </si>
  <si>
    <t>Monto de reclamaciones pagadas por terceros en la fase de cobro coactivo, por concepto de accidentes de tránsito sin SOAT  / Monto de reclamaciones pagadas por la ADRES antes FOSYGA, por concepto de accidentes de tránsito sin SOAT, objeto de cobro coactivo</t>
  </si>
  <si>
    <t>Monto de reclamaciones pagadas por terceros al inicio del proceso de cobro, por concepto de accidentes de tránsito sin SOAT  / Monto de reclamaciones pagadas por la ADRES antes FOSYGA, por concepto de accidentes de tránsito sin SOAT</t>
  </si>
  <si>
    <t># de noticias positivas, que visibilizan a la ADRES en medios de comunicación</t>
  </si>
  <si>
    <t>((# de seguidores en Twitter periodo actual - # de seguidores en Twitter periodo anterior)/ # de seguidores en Twitter periodo anterior)</t>
  </si>
  <si>
    <t>((Tráfico página Web periodo actual - Tráfico página Web periodo anterior)/Tráfico página Web periodo anterior)</t>
  </si>
  <si>
    <t>11700-1</t>
  </si>
  <si>
    <t>11700-1-1</t>
  </si>
  <si>
    <t>11700-1-1-1</t>
  </si>
  <si>
    <t>96 &lt;=100%</t>
  </si>
  <si>
    <t>AVANCES AL 30 DE JULIO</t>
  </si>
  <si>
    <t>CÓDIGO ACTIVIDAD RELEVANTE</t>
  </si>
  <si>
    <t>CONVENCIONES</t>
  </si>
  <si>
    <t>ACTIVIDADES RELEVANTES</t>
  </si>
  <si>
    <t>CÓDIGO</t>
  </si>
  <si>
    <t>Pagos eficientes (salud, LMA, SOAT, No POS</t>
  </si>
  <si>
    <t>Custoria y administración de inversiones</t>
  </si>
  <si>
    <t>Venta de cartera</t>
  </si>
  <si>
    <t>Defensa jurídica (Tutelas, reclamaciones administrativas, embargos, etc.)</t>
  </si>
  <si>
    <t>Integración Tecnológica</t>
  </si>
  <si>
    <t>Administración de riesgos, procesos y plan de acción</t>
  </si>
  <si>
    <t>Comunicaciones</t>
  </si>
  <si>
    <t xml:space="preserve">Funcionamiento </t>
  </si>
  <si>
    <t>Compra de cartera</t>
  </si>
  <si>
    <t>Estudios de sector</t>
  </si>
  <si>
    <t>Recobros</t>
  </si>
  <si>
    <t>Servicio al ciudadano</t>
  </si>
  <si>
    <t>Gestión Documental</t>
  </si>
  <si>
    <t>RESULTADO</t>
  </si>
  <si>
    <t>SEGUIMIENTO AL CUMPLIMIENTO POR PERSPECTIVA DEL CMI</t>
  </si>
  <si>
    <t>SEGUIMIENTO AL CUMPLIMIENTO POR OBJETIVOS/LINEAMIENTOS ESTRATÉGICOS</t>
  </si>
  <si>
    <t>SEGUIMIENTO AL CUMPLIMIENTO POR DEPENDENCIAS</t>
  </si>
  <si>
    <t>Detalles</t>
  </si>
  <si>
    <t>% 
Cumplimiento Marzo</t>
  </si>
  <si>
    <t>% 
Cumplimiento Junio</t>
  </si>
  <si>
    <t>% 
Cumplimiento Septiembre</t>
  </si>
  <si>
    <t>% 
Cumplimiento Diciembre</t>
  </si>
  <si>
    <t>Programa de auditorías internas, al Control Interno y otros informes  de la OCI</t>
  </si>
  <si>
    <t>Realizar las auditorías internas , al Control Interno y otros informes , de acuerdo a lo programado para la vigencia. Plan Anual Auditorias</t>
  </si>
  <si>
    <t>(Número de auditorías internas al Control Interno y otros informes realizadas / Número de auditorías internas, al Control Interno y otros informes programadas)*100</t>
  </si>
  <si>
    <t xml:space="preserve">Formular los procesos y procedimientos en el marco del MIPG
</t>
  </si>
  <si>
    <t>Pendiente definir de acuerdo al comportamiento del primer trimestre del 2018</t>
  </si>
  <si>
    <t>#Noticias Positivas en el periodo/#Noticias Negativas en el mismo periodo.</t>
  </si>
  <si>
    <t xml:space="preserve">Porcentaje </t>
  </si>
  <si>
    <t>((#Visitas Página WEB periodo actual - # Visitas Página WEB periodo anterior) / # Visitas Página WEB periodo anterior)</t>
  </si>
  <si>
    <t>Pendiente definir de acuerdo al comportamiento del primer trimestre del 2018, una vez sea instalada la herramienta de medición</t>
  </si>
  <si>
    <t># llamadas atendidas / # llamadas entrantes</t>
  </si>
  <si>
    <t>AVANCE ACUMULADO</t>
  </si>
  <si>
    <t>Se da cumplimiento al reporte correspondiente al primer trimestre de 2018, el jueves 5 de abril de 2018.</t>
  </si>
  <si>
    <t>Se reportaron oportunamente en este documento los avances de la ejecución del Plan de Acción de esta dependencia.</t>
  </si>
  <si>
    <t># Certificaciones realizadas  / # certificaciones solicitadas</t>
  </si>
  <si>
    <t>Mensualmente se realizaron los respectivos Informes y se enviaron las ejecuciones presupuestales al MHCP, se ajusto el valor del monto total del  contrato por diferencia con en el plan de adquisiciones</t>
  </si>
  <si>
    <t>No se puede medir este indicador, ya que la entidad careció para el primer trimestre de 2018 de la herramienta tecnológica para realizar la medición. La medición comienza a partir del segundo trimestre de 2018.
No pudimos ejecutar el presupuesto asignado, por la entrada en vigencia de la Ley de Garantías y además, porque la asesora de comunicaciones se vinculó recientemente.</t>
  </si>
  <si>
    <t xml:space="preserve">Adecuación institucional </t>
  </si>
  <si>
    <t xml:space="preserve">Optimización de procesos de recaudo, administración y pago de recursos </t>
  </si>
  <si>
    <t>Calidad y oportunidad procesos de reconocimiento, prestaciones excepcionales y financiamiento</t>
  </si>
  <si>
    <t>Implementación de herramientas tecnológicas y financieras</t>
  </si>
  <si>
    <t>Seguimiento y reporte al cumplimiento del Plan de Acción</t>
  </si>
  <si>
    <t>Se público y pago un edicto de  febrero de 2018,  queda en tramite el pago de la publicación de un edicto recibido en marzo. Este servicio es a demanda y depende de los actos administrativos recibidos. </t>
  </si>
  <si>
    <t>Valor pagado por viáticos del periodo mas el valor pagado de tiquetes/ Valor  determinado por cada resolución de desplazamineto y pago de tiquete del periodo. </t>
  </si>
  <si>
    <t>En el mes de enero del año en curso, se adelantó el proceso de identificación y alistamiento de las resoluciones ejecutoriadas, con más de 180 días de vencidas, qué conforme a las normas que regulan el tema son susceptibles de venta a la CENTRAL DE INVERSIONES S.A. – CISA S.A.
Mediante comunicación con Radicado No. S000000740000 del 16 de marzo del año en curso, se solicitó al doctor HERNÁN PARDO BOTERO, en su calidad de Representante Legal de CENTRAL DE INVERSIONES S.A. - CISA S.A., de conformidad con lo dispuesto en el numeral 1. de la Cláusula Cuarta del Contrato No.081 de 2017 CM-017-2017, adelante el proceso de valoración de por la venta de 1.286 reclamaciones, que corresponden a 541 terceros, por un valor $2.993.131.816.00.
Es de anotar que a la fecha no se ha recibido respuesta sobre el particular por parte de CISA S.A., una vez llegue, se adelantará el proceso de alistamiento y entrega de los expedientes contentivos de las resoluciones debidamente ejecutoriadas y con los soportes que corresponden.</t>
  </si>
  <si>
    <t xml:space="preserve">Sobre el tema, es del caso informar que adelantado el proceso de depuración se encontraron 9.885 fallecidos, de ahí que, con el propósito de adelantar las actuaciones que corresponden, mediante comunicación Radicación No.000000448200 del 23 de enero de 2018, se solicitó al Coordinador GIT Comercialización del Instituto Agustín Codazzi, informe si las personas fallecidas cuya relación se remitió en medio magnético CD, poseen bienes._x000D_
_x000D_
El doctor Orlando Bustamante Méndez, Coordinador GIT comercialización del Instituto Agustín Codazzi, a través de la comunicación Radicación E0000004472500 del 15 de febrero del año en curso, remitió de manera impresa la información, sobre la cual se le solicito lo hiciera en medio magnético, lo cual permite adelantar de manera ágil y eficiente, el cruce de información.  _x000D_
_x000D_
Teniendo en cuenta el número de fallecidos y dado que la información remitida de manera impresa es ilegible, en reiteradas oportunidades se ha solicitado al citado funcionario la remisión de la información en medio magnético, que permita los cruces de información. Mediante correo electrónico se solicitó a la doctora Ingrid Soraya Tenjo, Subdirectora de Catastro del Instituto Agustín Codazzi, su intervención para que la información requerida sea remitida en medio magnético._x000D_
</t>
  </si>
  <si>
    <t>Se incluye informe de ejecución del contrato de prestación de servicios 2017, dado que se canceló en el mes de enero. En este avance de ejecución no se incluye el valor a pagar del mes de marzo.</t>
  </si>
  <si>
    <t>Esta en proceso de contratación para solicitar las cotizaciones a los diferentes proveedores. </t>
  </si>
  <si>
    <t>Aunque se esta realizando el  objetivo no se está contratando por que  hay una persona  de planta que  esta  realizado la  acción  planteada.</t>
  </si>
  <si>
    <t>Aunque se esta realizando   el  objetivo no se está contratando por que  hay una persona  de planta que  esta  realizado la  acción  planteada.</t>
  </si>
  <si>
    <t>Dentro del primer trimestre se está llevando a cabo la definición de procesos y procedimientos de la dirección, por tal motivo no se cuenta aún con indicadores. Por su parte durante este trimestre no se presentaron acciones de mejora reportadas por parte de Control Interno.</t>
  </si>
  <si>
    <t>Durante el I Trimestre se envío la totalidad de certificaciones de descuento para que fueran aplicadas en el proceso LMA - La relación de las certificaciones puede verse en el archivo Reportes Plan de acción primer trimestre 2018 (pestaña FINDETER), en la carpeta evidencias I Trimestre</t>
  </si>
  <si>
    <t>Durante el I Trimestre se envío la totalidad de certificaciones de descuento para que fueran aplicadas en el proceso de compensación - La relación de las certificaciones puede verse en el archivo Reportes Plan de acción primer trimestre 2018 (pestaña FINDETER), en la carpeta evidencias I Trimestre</t>
  </si>
  <si>
    <t>Durante el I Trimestre se envío la totalidad de certificaciones de descuento para que fueran aplicadas en el proceso LMA - La relación de las certificaciones puede verse en el archivo Reportes Plan de acción primer trimestre 2018 (pestaña COMPRA DE CARTERA), en la carpeta evidencias I Trimestre</t>
  </si>
  <si>
    <t>Durante el I Trimestre se envío la totalidad de certificaciones de descuento para que fueran aplicadas en el proceso de compensación - La relación de las certificaciones puede verse en el archivo Reportes Plan de acción primer trimestre 2018 (pestaña COMPRA DE CARTERA), en la carpeta evidencias I Trimestre</t>
  </si>
  <si>
    <t>Durante el I Trimestre se elaboró el informe de caracterización de MIPRES, correspondiente a la vigencia 2017, y el documento de análisis de elosulfasa alfa para el periodo 2016-17. El presupuesto indicado no es para la realización de un estudio, sino para la compra de un programa estadístico. Las capacitaciones de utilización del programa no habían finalizado con corte a primer trimestre. En consecuencia, los recursos todavía no han sido girados.</t>
  </si>
  <si>
    <t>Se anexan a la carpeta compartida por la Oficina Asesora de Planeación y Control de Riesgos, las cuentas de cobros radicados del trimestre, las cuales evidencian la ejecución de los recursos asignados y programados entre Enero a Marzo de 2018.
Se anexan a la carpeta compartida por la Oficina Asesora de Planeación y Control de Riesgos, la relación de registros de recaudos identificados Vs. Total de Registros recaudos en el I Trimestre.</t>
  </si>
  <si>
    <t>Se anexan a la carpeta compartida por la Oficina Asesora de Planeación y Control de Riesgos, los Informe de Control de Recaudo y Fuentes de Financiamiento, correspondientes a los periodos comprendidos de: 1) Agosto – Diciembre 2017; 2) Enero 2018; y 3) Febrero 2019.</t>
  </si>
  <si>
    <t>Se anexan a la carpeta compartida por la Oficina Asesora de Planeación y Control de Riesgos, la relación de PPI identificadas en el I Trimestre, al 30 de marzo de 2018.</t>
  </si>
  <si>
    <t>Se efectúo el proceso de la Liquidación Mensual de Afiliados mensualmente dentro de los tiempos establecidos en la normatividad vigente y los recursos disponibles para la aplicación del giro, la información resultado del proceso se encuentra publicada en el link:
http://www.adres.gov.co/Régimen-Subsidiado/Liquidación-mensual-afiliados-LMA/Resumen-LMA</t>
  </si>
  <si>
    <t>Se efectúo el giro directo a IPS y/o proveedores mensualmente dentro de los tiempos establecidos en la normatividad vigente y los recursos disponibles para la aplicación del giro, la información resultado del proceso se encuentra publicada en el link:
http://www.adres.gov.co/Giros/Régimen-subsidiado/Liquidación-Mensual-de-Afiliados-LMA/Giros-LMA</t>
  </si>
  <si>
    <t>En el primer trimestre no se registran informes de auditoría, teniendo en cuenta que los procedimientos de reintegro se iniciaron por la ADRES en febrero y marzo del presente año, por lo tanto, los informes se  verán reflejados en el segundo y tercer trimestre.</t>
  </si>
  <si>
    <t># Procesos de Compensación Ejecutados</t>
  </si>
  <si>
    <t xml:space="preserve"># Procesos de LMA Ejecutados </t>
  </si>
  <si>
    <t># Giros Directos Ejecutados y Publicados</t>
  </si>
  <si>
    <t>LA JEFE DE LA OFICINA ASESORA JURÍDICA INSTÓ A LOS FUNCIONARIOS EN CUMPLIR EL TÉRMINO DE ELABORACIÓN DE FICHAS TÉCNICAS A SER SOMETIDAS A CONSIDERACIÓN DEL COMITÉ DE CONCILIACIÓN CONFORME LA RESOLUCION 280 DE 2017 Y ACUERDO 497 DE 2017</t>
  </si>
  <si>
    <t>EN ESTE TRIMESTRE NO HUBO EROGACIÓN PRESUPUESTAL EN RAZÓN A QUE FUE DESARROLLADA LA ACTIVIDAD POR PERSONAL DE PLANTA</t>
  </si>
  <si>
    <t>JUAN PABLO GALVIS APOYA LA CONSECUCIÓN DEL INDICADOR DE GESTIÓN (PERSONAL DE PLANTA)</t>
  </si>
  <si>
    <t>A LA FECHA EL CONTRATISTA NO HA SUSTENTA RECURSO EXTRAORDINARIO DE CASACIÓN COMO TAMPOCO SE LE HAN ASIGNADO PROCESOS JUDICIALES PARA ALGUNA GESTIÓN</t>
  </si>
  <si>
    <t>11700-2-23</t>
  </si>
  <si>
    <t>Asesoría Jurídica</t>
  </si>
  <si>
    <t>11700-2-23-1</t>
  </si>
  <si>
    <t>Asesoría Jurídica y acompañamiento para la entidad en relación a las actuaciones administrativas</t>
  </si>
  <si>
    <t>0% &lt;= 50% de la meta del periodo</t>
  </si>
  <si>
    <t>51% &lt;=75% de la meta del periodo</t>
  </si>
  <si>
    <t>76% &lt;=95% de la meta del periodo</t>
  </si>
  <si>
    <t>95 &lt;=100% de la meta del periodo</t>
  </si>
  <si>
    <r>
      <t xml:space="preserve">% 
</t>
    </r>
    <r>
      <rPr>
        <b/>
        <sz val="10"/>
        <color indexed="9"/>
        <rFont val="Verdana"/>
        <family val="2"/>
      </rPr>
      <t>Cumplimiento periodo</t>
    </r>
  </si>
  <si>
    <r>
      <t xml:space="preserve">% 
</t>
    </r>
    <r>
      <rPr>
        <b/>
        <sz val="10"/>
        <color indexed="9"/>
        <rFont val="Verdana"/>
        <family val="2"/>
      </rPr>
      <t>Cumplimiento</t>
    </r>
  </si>
  <si>
    <t>SEMÁFORO EFICACIA EN LA EJECUCIÓN DEL PERIODO</t>
  </si>
  <si>
    <t>SEMÁFORO EFICACIA EN LA EJECUCIÓN ACUMULADA</t>
  </si>
  <si>
    <t>11500-3-2-2</t>
  </si>
  <si>
    <t>Convocar a Comité de Conciliación</t>
  </si>
  <si>
    <t>11900-3-7-3</t>
  </si>
  <si>
    <t>11900-3-13-2</t>
  </si>
  <si>
    <t>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t>
  </si>
  <si>
    <t>Efectuar los pagos de nomina de los funcionarios de la ADRES</t>
  </si>
  <si>
    <t>Efectuar los pagos de servicios personales indirectos (honorarios y remuneración de servicios técnicos) de acuerdo con las solicitudes de las dependencias de la ADRES</t>
  </si>
  <si>
    <t xml:space="preserve">Pago de las Cuentas de Cobro radicadas en el mes que cumplan con los requisitos exigidos debidamente aprobadas y soportadas por los supervisores de los contratos </t>
  </si>
  <si>
    <t>Trámites  Precontractuales y Contractuales Adelantados de conformidad con Plan de Adquisiciones</t>
  </si>
  <si>
    <t># Procesos contractuales tramitados / # Procesos contractuales incluidos en el Plan Anual de Adquisiciones y requeridos por las dependencias de la ADRES</t>
  </si>
  <si>
    <t># Autos de cierre o actas de liquidación elaboradas / # contratos con ejecución finalizada</t>
  </si>
  <si>
    <t>Realizar capacitación para fortalecer las competencias laborales de los funcionarios</t>
  </si>
  <si>
    <t>11400-3-15</t>
  </si>
  <si>
    <t>Convenio Cafesalud</t>
  </si>
  <si>
    <t>11400-3-15-1</t>
  </si>
  <si>
    <t>Cierre convenio con Cafesalud</t>
  </si>
  <si>
    <t>Valor pagado/valor proyectado</t>
  </si>
  <si>
    <t>Informes</t>
  </si>
  <si>
    <t xml:space="preserve">Se suscribieron tres (3) de cuatro (4) contratos proyectados para todo el año. Por otra parte se reportan los 69 procesos de contratación adelantados en el primer trimestre los cuales fueron solicitados por las diferentes dependencias de la Entidad (incluidos los 3 propios del Grupo). 
Financieramente solo se reportan los contratos propios del grupo.
</t>
  </si>
  <si>
    <t># comités de conciliación llevados a cabo / # comités de conciliación requeridos en el trimestre</t>
  </si>
  <si>
    <t>Ejecución / presupuesto proyectado según rubro</t>
  </si>
  <si>
    <t>Realizar el Comité de Conciliación</t>
  </si>
  <si>
    <t>Comité de conciliación realizado</t>
  </si>
  <si>
    <t>CUMPIMIENTO CONSOLIDADO</t>
  </si>
  <si>
    <t>&gt; 100% de la meta del periodo</t>
  </si>
  <si>
    <t>11900-3-13-3</t>
  </si>
  <si>
    <t>PROCESO</t>
  </si>
  <si>
    <t>DIRECCIONAMIENTO ESTRATÉGICO</t>
  </si>
  <si>
    <t>FORMATO</t>
  </si>
  <si>
    <t>DIES-F07</t>
  </si>
  <si>
    <t>PLAN DE ACCIÓN ANUAL ADRES</t>
  </si>
  <si>
    <t>VERSIÓN</t>
  </si>
  <si>
    <t>DIES-F08</t>
  </si>
  <si>
    <t>EJECUCIÓN DEL PLAN DE ACCION</t>
  </si>
  <si>
    <t>CUMPLIMIENTO DE OBJETIVOS ESTRATÉGICOS</t>
  </si>
  <si>
    <t>CUADRO DE MANDO INTEGRAL
CUMPLIMIENTO POR ACTIVIDADES RELEVANTES</t>
  </si>
  <si>
    <t>CONTROL DE CAMBIOS</t>
  </si>
  <si>
    <t>Versión</t>
  </si>
  <si>
    <t>Fecha</t>
  </si>
  <si>
    <t>Descripción del cambio</t>
  </si>
  <si>
    <t>Elaborado por</t>
  </si>
  <si>
    <t xml:space="preserve">Revisado Por </t>
  </si>
  <si>
    <t>Aprobado por</t>
  </si>
  <si>
    <t>Solicitado por</t>
  </si>
  <si>
    <t>Emisión y publicación inicial</t>
  </si>
  <si>
    <t>Norela Briceño
Fernan Ulate</t>
  </si>
  <si>
    <t>Junta Directiva</t>
  </si>
  <si>
    <t>Mandamiento de ley</t>
  </si>
  <si>
    <t>Norela Briceño</t>
  </si>
  <si>
    <t>AVANCES AL 31 DE JULIO DE 2018</t>
  </si>
  <si>
    <t>Jefe Oicina Asesora de Planeación y Control de Riesgos
Director General</t>
  </si>
  <si>
    <t>Efectuar el pago de las sentencias y conciliaciones de la ADRES de acuerdo con las solicitudes de la Oficina Asesora Jurídica</t>
  </si>
  <si>
    <t>Jefe Oficina Asesora de Planeación y Control de Riesgos
Director General</t>
  </si>
  <si>
    <t>Responsables de líneas de acción de las diferentes dependencias</t>
  </si>
  <si>
    <r>
      <t xml:space="preserve">Se da cumplimiento al avance del 25% correspondiente a la emisión de 3 Boletines de autocontrol. En la ruta One Drive </t>
    </r>
    <r>
      <rPr>
        <b/>
        <sz val="10"/>
        <rFont val="Verdana"/>
        <family val="2"/>
      </rPr>
      <t>EVIDENCIAS/Trimestre I/11800-3-5-1</t>
    </r>
    <r>
      <rPr>
        <sz val="10"/>
        <rFont val="Verdana"/>
        <family val="2"/>
      </rPr>
      <t xml:space="preserve"> se encuentran los 3 boletines emitidos por la OCI correspondientes a los meses de enero, febrero y marzo de 2018. </t>
    </r>
  </si>
  <si>
    <t>La apropiaciones se ajustan ya que el plan de acción fue realizado con la Resolución 640 de 2017, la cual estaba para aprobación de la Junta Directiva y una vez aprobada por la Junta Directiva y se expidió la Resolución 083 de 2018.</t>
  </si>
  <si>
    <t>Los estados financieros y el informe de operación reciproca están a corte de 31 de diciembre del 2017</t>
  </si>
  <si>
    <t>El reporte corresponde al presente archivo (Plan Acción ADRES Vigencia 2018 One drive)</t>
  </si>
  <si>
    <r>
      <t xml:space="preserve">Dentro de la carpeta </t>
    </r>
    <r>
      <rPr>
        <b/>
        <sz val="10"/>
        <rFont val="Verdana"/>
        <family val="2"/>
      </rPr>
      <t>Evidencias\I trimestre\11600-3-5-1</t>
    </r>
    <r>
      <rPr>
        <sz val="10"/>
        <rFont val="Verdana"/>
        <family val="2"/>
      </rPr>
      <t xml:space="preserve"> se encuentra la evidencia de los pagos realizados frente a esta actividad. Tener en cuenta las siguientes consideraciones:
Tomando como insumo el plan de adquisiciones de la vigencia presente para esta actividad se tiene la relación de los siguientes Rubros: (a) Prestar el servicio de soporte y administración de la plataforma de gestión documental DOCUMENTUM y la solución de correspondencia de la ADRES (b) Servicio de videoconferencia gubernamental y adquisición de equipos.
(a) </t>
    </r>
    <r>
      <rPr>
        <b/>
        <sz val="10"/>
        <rFont val="Verdana"/>
        <family val="2"/>
      </rPr>
      <t>Prestar el servicio de soporte y administración de la plataforma de gestión documental DOCUMENTUM y la solución de correspondencia de la ADRES</t>
    </r>
    <r>
      <rPr>
        <sz val="10"/>
        <rFont val="Verdana"/>
        <family val="2"/>
      </rPr>
      <t xml:space="preserve">. 
Se realizo contrato No. 0064 de 2018, con fecha de inicio el 26 de Enero del 2018 hasta el 31 de Diciembre del 2018
Las evidencias se encuentran en Evidencias\I trimestre\11600-3-5-1\Mega Grupo, de donde: 
El mes de diciembre 2018 (Carpeta Pago Dic 2017 con documentación adjunta), el cual ya se encuentra </t>
    </r>
    <r>
      <rPr>
        <b/>
        <sz val="10"/>
        <rFont val="Verdana"/>
        <family val="2"/>
      </rPr>
      <t>paga</t>
    </r>
    <r>
      <rPr>
        <sz val="10"/>
        <rFont val="Verdana"/>
        <family val="2"/>
      </rPr>
      <t xml:space="preserve">. 
El mes de enero (Soporte Pago Mes Enero.pdf), el cual ya se encuentra </t>
    </r>
    <r>
      <rPr>
        <b/>
        <sz val="10"/>
        <rFont val="Verdana"/>
        <family val="2"/>
      </rPr>
      <t>paga</t>
    </r>
    <r>
      <rPr>
        <sz val="10"/>
        <rFont val="Verdana"/>
        <family val="2"/>
      </rPr>
      <t xml:space="preserve">. 
El mes de Febrero (Soporte Pago Mes Febrero.pdf) ya se encuentra pago. 
Finalmente, para el mes de marzo (Soporte Pago Mes Marzo.pdf)  se encuentra Radicada la factura.
(b) </t>
    </r>
    <r>
      <rPr>
        <b/>
        <sz val="10"/>
        <rFont val="Verdana"/>
        <family val="2"/>
      </rPr>
      <t>Servicio de videoconferencia gubernamental y adquisición de equipos</t>
    </r>
    <r>
      <rPr>
        <sz val="10"/>
        <rFont val="Verdana"/>
        <family val="2"/>
      </rPr>
      <t xml:space="preserve">.
Se realizó contacto con 2 proveedores para validar las posibles soluciones a implementar según las necesidades de la entidad, realizaron levantamiento de información y toma de medidas para entregar una cotización formal.
Las evidencias se encuentran en Evidencias\I trimestre\11600-3-5-1\Video conferencia, de donde: 
Acta de visita de proveedor para videoconferencia.
</t>
    </r>
    <r>
      <rPr>
        <b/>
        <sz val="10"/>
        <rFont val="Verdana"/>
        <family val="2"/>
      </rPr>
      <t>ACLARACIÓN SOBRE LA EJECUCIÓN DE LA ACTIVIDAD</t>
    </r>
    <r>
      <rPr>
        <sz val="10"/>
        <rFont val="Verdana"/>
        <family val="2"/>
      </rPr>
      <t xml:space="preserve">: Esta actividad para este trimestre tenía presupuestado ejecutar $ 57,091,580 pesos y hasta el momento se ha ejecutado (pagado) $47.197.600 + radicado mes de marzo (en proceso de pago) $19.992.000.
Se tiene un valor ejecutado de $47.197.600 dando una diferencia de $9,893,980. Por tal razón hasta el momento se tiene un 82,67,85% de la ejecución del presupuesto asignado para está actividad en este trimestre.
</t>
    </r>
  </si>
  <si>
    <t>Dentro de la carpeta Evidencias\I trimestre\11600-3-9-1 se encuentra la evidencia de los pagos realizados frente a esta actividad. Tener en cuenta las siguientes consideraciones:
(i) Se tiene la relación de tres contratistas: (a) Manuel Alejandro Peña Vargas. (b) Jorge Arturo Suarez Isaza (c) Yuly Margoth Otalora Bernal, para lo cual se ha puesto una carpeta con el nombre de cada uno de ellos.
(ii) Manuel Alejandro Peña Vargas. Inicia Actividades el día 11 de Enero de 2018 bajo el contrato 0024 de 2018.
Las evidencias se encuentran en Evidencias\I trimestre\11600-3-9-1\ Manuel Alejandro Peña Vargas,  de donde:
El mes de diciembre 2018 (GCON-F01_Informe de Cumplimiento de Avance de Obligaciones Contractuales y Pago.pdf), el cual ya se encuentra pago. 
El mes de enero (Informe parcial 1-Contrato 0024_2018 .pdf), el cual ya se encuentra pago. 
El mes de Febrero (Informe parcial 2-Contrato 0024_2018.pdf) ya se encuentra pago. 
Finalmente, para el mes de marzo (Informe parcial 3-Contrato 0024_2018.pdf) el cual se encuentra Radicada la cuenta.
(iii) Jorge Arturo Suarez Isaza. Inicia Actividades el día 11 de enero de 2018 bajo el contrato 0019 de 2018.
Las evidencias se encuentran en Evidencias\I trimestre\11600-3-9-1\  Jorge Arturo Suarez Isaza,  de donde:
El mes de enero (Jorge Suarez 2017Dic .pdf), el cual ya se encuentra pago. 
El mes de enero (Informe Supervisión Enero 2018 JORGE SUAREZ .pdf), el cual ya se encuentra pago. 
El mes de Febrero (Informe Supervisión Febrero 2018 JORGE SUAREZ.pdf) ya se encuentra pago. 
Finalmente, para el mes de marzo (Informe Supervisión Marzo 2018 JORGE SUAREZ.pdf) el cual se encuentra Radicada la cuenta.
(iv) Yuly Margoth Otalora Bernal. Inicia Actividades el día 01 de Febrero de 2018 bajo el contrato 0068 de 2018.
Las evidencias se encuentran en Evidencias\I trimestre\11600-3-9-1\Yuly Margoth Otalora Bernal,  de donde:
Mes de Febrero (1_GCON-F01_Informe de Cumplimiento de Avance de Obligaciones Contractual_022018.pdf), el cual ya se encuentra pago. 
Mes de marzo  (1_GCON-F01_Informe de Cumplimiento de Avance de Obligaciones Contractual_032018.pdf) el cual se encuentra Radicada la cuenta.
ACLARACIÓN SOBRE LA EJECUCIÓN DE LA ACTIVIDAD: Teniendo en cuenta que dentro de esta actividad para este trimestre se tenía presupuestado ejecutar $144.044.517 y hasta el momento se ha ejecutado (pagado) $ 25,139.012 + radicado mes de marzo (en proceso de pago) $12,590,407. 
Se tiene un valor ejecutado de $25,139,012 dando una diferencia de $118,905,505, el cual es producto de: (i)  la fecha en la cual se firmó el contrato de cada uno de los contratistas. (ii) No se ha podido contratar todos los contratistas que se tenían presupuestados; ya que dentro de este trimestre se hizo la convocatoria de selección de los contratistas requeridos y se adelantó  la evaluación de perfil y requisitos para el cargo. Sin embargo, antes de entrar en período de ley de garantías (27 de enero de 2018), solo se pudo contratar a Yuly Otalora  (única candidata que cumplió el perfil) quedando pendiente la contratación de los otros contratistas hasta finalizar el periodo en el cual rige la ley. 
Por tal razón hasta el momento se tiene un 17,45% de la ejecución del presupuesto asignado para está actividad en este trimestre.</t>
  </si>
  <si>
    <t>La planilla de la Nómina correspondiente al mes de Marzo de 2018 se pagó en el mes de Abril por $434.278.800 y  la diferencia corresponde a  que la planta de personal no se ha provisto en su totalidad.
Se recomienda actualizar los valores asociados a este indicador, ya que según resolución 860 de 2018, se adicionó un monto de $23.345.341.854 y lo pertinente a  servicios personales asociado a la nómina por $2.002.739</t>
  </si>
  <si>
    <t>No hay lugar a ejecución ya que  los $11.300.573.000 a 31 de Enero de 2018 según Resolución 637 de 2018, correspondía a Disponibilidad Final de la Vigencia 2017;  De acuerdo a aprobación del CONFIS mediante Resolución 0012 del 27 de Marzo de 2018, la disponibilidad Final a 2017 se desagregó  en varios Rubros del Gasto, en la vigencia 2018, la cual quedó desagregada según Resolución 860 de 27 de Marzo de 2018; por lo tanto el Rubro de Disponibilidad Final debe ser $0. por ende se adjunta Resolución 860 de 2018 para evidenciar la modificación de la misma.
En referencia a los $1.817.497.672 restantes, corresponde a un valor no asignado en el plan de adquisiciones.</t>
  </si>
  <si>
    <t>El 28 de Febrero de 2018, se presentó ante la CGN el informe Correspondiente al 4ª trimestre de 2017.</t>
  </si>
  <si>
    <t>De las 293  cuentas de cobro y pago de proveedores y funcionarios se cancelaron 291, las 2 cuentas de cobro no canceladas, fue por rechazó en el portal bancario de Davivienda por error en No de Cuenta Bancaria asignada a los terceros.</t>
  </si>
  <si>
    <t>En el número de contratos terminados se incluye uno suscrito en la vigencia 2018 que terminó anticipadamente, la certificación aportada como evidencia se refiere solo a lo suscrito y terminado de la Vigencia 2017. En cuanto al número de Constancias de archivo y/o liquidaciones no se cuentan 2 de ellas por ser suscritas en el mes de abril estas serán reportadas para el Segundo Trimestre.</t>
  </si>
  <si>
    <t xml:space="preserve">Se realizaron  cuatro capacitaciones durante el primer trimestre  del 2018,  los cuales,  fueron desarrolladas para los  funcionarios de la Entidad sin ningún gasto. 
Capacitación  de evolución del desempeño dictada por  CNSC.
Capacitación gestión  preventiva disciplinaria dictada por control interno disciplinario.
Capacitación del servicio al cliente dictada por el SENA.
Capacitación   de redacción y ortografía dictada por el SENA.
</t>
  </si>
  <si>
    <t>Se realizaron  nueve actividades  de bienestar  durante el primer trimestre  del 2018,  los cuales,  fueron desarrolladas para los  funcionarios de la Entidad sin ningún gasto. Rumba terapia, Feria de servicios Compensar, Manejo de enfermedades, Árbol de los sueños, Feria de productos Alpina, Risoterapia, Vive el estrés desde un enfoque positivo, Charla experimenta la felicidad, Todo es cuestión de vida saludable, Dia del Hombre, Dia de la Mujer.</t>
  </si>
  <si>
    <t>Esta en proceso de contratación para solicitar las cotizaciones a los diferentes proveedores. El valor reportado corresponde a la cuenta pagada en enero de 2018 con cargo al presupuesto de esa vigencia, del Contrato 005 de 2017 prestación de servicios para la realización de las evaluaciones medicas ocupacionales de preingreso egreso pos incapacidad o reintegro.</t>
  </si>
  <si>
    <t>Aunque se esta realizando   el  objetivo no se está contratando por que  hay una persona  de planta que  esta  realizado la  acción  planteada.  En el periodo  se realizaron  actividades  como: levantamiento de la base  de datos  con los requisitos  existentes para la  vigilancia y administración  de  la custodia de las hojas de vida  de los  funcionarios públicos,  la cual  se  ha  evidenciado  con el  avance de del  archivo físico existente a la fecha.</t>
  </si>
  <si>
    <t>Corresponde a la suma de las resoluciones de viáticos ( Grupo de Gestión del Talento Humano ) mas el contrato de satena de compra de tiquetes; esta ejecución es a demanda para medir la gestión se sugiere este nuevo indicador  Valor pagado por viáticos del período mas el, valor pagado de tiquetes/ Valor  determinado por cada resolución de desplazamiento y pago de tiquete del periodo. </t>
  </si>
  <si>
    <t>Falta incluir la ejecución presupuestal del mes de marzo, dado que a pesar de los requerimientos, no han radicado factura. Se incluye ejecución del mes de diciembre, con pago en el mes de enero del contrato. De otra parte se informa que de acuerdo al contrato realizado a través de Colombia compra eficiente, mediante acuerdo marco de precios, Centro de Contaco, se estableció que el Nivel de Servicio será de 70/30 es decir el 70% de las llamadas se atenderán antedes de 30 segundos; y el Nivel de atención 95/5, es decir que se deben atender el 95% de todas las llamadas entrantes. Debido al no cubrimiento del ANS, el comité directivo de la entidad aprobó la modificación del horario de atención de la línea que se encontraba dispuesta 7 días a la semana, 24 horas al día y se modificó para atender en el horario de lunes a viernes de 7:00 a.m. a 6:00 p.m. y sábados de 8:00 a.m. a 1:00 p.m. en jornada continua. el puesto de trabajo en el horario festivos domingos y horario nocturno, al eliminarlo de este horario representó incrementar la línea en tres agentes durante el nuevo horario de atención.</t>
  </si>
  <si>
    <t>De las 107 consultas solicitadas se solicitaron al custodio de archivo las 107, de las cuales se encontraban a 30 de marzo de 2018, once (11) consultas pendientes por entregar. </t>
  </si>
  <si>
    <t>Actos administrativos mediante los cuales se establecen los fallecidos, incobrables, cancelados y revocados, resultado del proceso de depuración</t>
  </si>
  <si>
    <t xml:space="preserve">Se solicita retirar del plan de acción dado que todos los gastos de nómina, incluidas las prestaciones sociales, se reportan en la línea de acción No. 11700-2-3-1 </t>
  </si>
  <si>
    <t xml:space="preserve">De conformidad con lo establecido en el Plan de Acción 2018, el Grupo de Cobro Coactivo, expidió 490 resoluciones ordenando el cobro de reclamaciones reconocidas y pagadas por el entonces FOSYGA hoy la ADRES, en relación con accidentes de tránsito cuyo vehículo involucrado, carecía del seguro obligatorio SOAT. _x000D_
_x000D_
Es de anotar que teniendo en cuenta la gestión que debe adelantar el Grupo de Cobro Coactivo en el marco de sus funciones y el número de abogados asignados al mismo, en el Plan de Acción 2018, se estableció la expedición de 4.000 resoluciones para la vigencia 2018, así: i) Para el Primer Trimestre 2018, 400 resoluciones, que corresponde al 10%; ii) Para el segundo trimestre 1.200 resoluciones, que corresponde al 30%; iii) Para el tercer 1.200 resoluciones, que corresponde al 30% y, iv) para el cuarto trimestre 1.200 resoluciones, que corresponde al 30%,  para lograr al finalizar 2018 el 100%, esto es, la meta establecida de 4.000 resoluciones._x000D_
_x000D_
</t>
  </si>
  <si>
    <t>En acatamiento de lo previsto en el artículo 238 de la Ley 1753 de 2015, la Dirección de fondos de la Protección Social del Ministerio de Salud y Protección Social y la empresa CISA S.A., suscribieron el Contrato Interadministrativo No. 081 de 2017 CM-017-2017, cuyo objeto es la venta de cartera que corresponde a obligaciones con mas de 180 días de vencidas en desarrollo del cual se viene adelantando la venta de cartera, para que CISA S.A. adelante el proceso de cobro por jurisdicción coactiva, sin perjuicio de que ADRES lo adelante de acuerdo con las estrategias establecidas, esto es, teniendo en cuenta las resoluciones de mayor cuantía.</t>
  </si>
  <si>
    <t>Otros gastos asociados a la representación judicial</t>
  </si>
  <si>
    <t>Códigos, unidades de medición y alineación de metas con unidades de medición, sugeridos por Control Interno.
Redacción de algunas actividades y productos de Talento Humano, Financiera Interna,  control Interno y depuración de cartera.
Inclusión de indicadores de cobro y venta de cartera.
Inclusión de indicadores y metas relacionadas con la estrategia de comunicación y marketing de la ADRES.
Ajuste del indicador relacionado con las auditorias internas.
Ajuste de metas trimestrales de Control Interno.
Ajuste de la meta anual de la actividad 11400-3-1-1.
Ajuste en la redacción y en el presupuesto anual y trimestral de la actividad 11500-3-2-1.
Inclusión de las actividades 11500-3-2-2, 11900-3-7-3, 11900-3-13-3, 11700-2-23-1 y 11400-3-15-1.
Ajuste en la redacción del producto de la actividad 11500-3-3-1
Ajuste en los valores asignados a las actividades 11500-3-1-1, 11500-3-6-1 y 11500-3-7-1.
Retiro del presupuesto inicialmente asignado a las actividades 11800-3-5-1, 11700-2-13-1 y 11700-2-13-2.
Eliminación de la actividad 11700-2-20-1.
Inclusión de los valores de adición y traslados según Resolución 860 de 2018 en las líneas de acción respectivas.</t>
  </si>
  <si>
    <r>
      <t xml:space="preserve">Los 33 procedimientos se encuentran descritos en los siguientes Manuales Operativos:
* Gestión Integral Régimen Contributivo
* Gestión Integral Régimen Subsidiado
* Gestión Integral Régimen Especial o de Excepción.
Estos Manuales se encuentran publicados en la siguiente ruta de a página Web de la ADRES: </t>
    </r>
    <r>
      <rPr>
        <u/>
        <sz val="10"/>
        <rFont val="Verdana"/>
        <family val="2"/>
      </rPr>
      <t xml:space="preserve">https://www.adres.gov.co/Transparencia/Manuales-t%C3%A9cnicos  </t>
    </r>
    <r>
      <rPr>
        <sz val="10"/>
        <rFont val="Verdana"/>
        <family val="2"/>
      </rPr>
      <t>tal como se observa en la evidencia localizada en la carpeta de evidencias correspondiente a esta actividad.</t>
    </r>
  </si>
  <si>
    <t>Ordenar el pago de los paquetes de recobros cuyo trámite de auditoría haya culminado, para el trámite de reconocimiento y pago por parte de ADRES (contrato en ejecución)</t>
  </si>
  <si>
    <t>Ordenar el pago de los paquetes de recobros cuyo trámite de auditoría haya culminado, para el trámite de reconocimiento y pago por parte de ADRES (contrato de auditoria a adjudicar)</t>
  </si>
  <si>
    <r>
      <t>Dentro de la carpeta:</t>
    </r>
    <r>
      <rPr>
        <b/>
        <sz val="10"/>
        <rFont val="Verdana"/>
        <family val="2"/>
      </rPr>
      <t xml:space="preserve"> Evidencias\I trimestre\11600-2-1-1</t>
    </r>
    <r>
      <rPr>
        <sz val="10"/>
        <rFont val="Verdana"/>
        <family val="2"/>
      </rPr>
      <t xml:space="preserve"> se encuentra el listado de procedimientos que se tienen a manera de inventario que se deben desarrollar para la DGTIC, para los tres procesos que componen la dirección: (i) Administración base de datos única de afiliados, (ii) Gestión de proyectos de información, (iii) Gestión de soporte a las tecnologías. 
De los cuales se definió un total de 26 procedimientos para los tres procesos. 
Actualmente, con el apoyo de la oficina de planeación y control de riesgo en cabeza de Johana Bejarano se ha terminado con la generación de la documentación de los 12 procedimientos del grupo interno Administración base de datos única de afiliados.
Se relaciona evidencia de los procedimientos en la carpeta: </t>
    </r>
    <r>
      <rPr>
        <b/>
        <sz val="10"/>
        <rFont val="Verdana"/>
        <family val="2"/>
      </rPr>
      <t>Evidencias\I trimestre\11600-2-1-1</t>
    </r>
  </si>
  <si>
    <r>
      <t xml:space="preserve">Dentro de la carpeta </t>
    </r>
    <r>
      <rPr>
        <b/>
        <sz val="10"/>
        <rFont val="Verdana"/>
        <family val="2"/>
      </rPr>
      <t>Evidencias\I trimestre\11600-3-1-1</t>
    </r>
    <r>
      <rPr>
        <sz val="10"/>
        <rFont val="Verdana"/>
        <family val="2"/>
      </rPr>
      <t xml:space="preserve"> se almacena un archivo indicando que para la revisión del primer trimestre no habían tareas planeadas para está actividad.</t>
    </r>
  </si>
  <si>
    <r>
      <t>Dentro de la carpeta Evidencias\I trimestre\11600-3-2-1 se encuentra la evidencia de los pagos realizados frente a esta actividad. Tener en cuenta las siguientes consideraciones:
Tomando como insumo el plan de adquisiciones de la vigencia presente para esta actividad se tiene la relación de los siguientes Rubros: (a) Adquisición de servidores y switches core. (b) Contratar la prestación del Servicio de Centro de Datos / Nube Privada (Adición). (c) Adquirir servicios de conectividad para la Entidad Administradora de los Recursos del Sistema General de Seguridad Social en Salud (Adición).
(a) </t>
    </r>
    <r>
      <rPr>
        <b/>
        <sz val="10"/>
        <rFont val="Verdana"/>
        <family val="2"/>
      </rPr>
      <t>Adquisición de servidores y switches core</t>
    </r>
    <r>
      <rPr>
        <sz val="10"/>
        <rFont val="Verdana"/>
        <family val="2"/>
      </rPr>
      <t>. 
Se escala con la Dirección Administrativa y Financiera, para validar incluir el switch core dentro del canon de arrendamiento, dado que no se puede referenciar marcas y se requiere tener un switch core de la misma marca y referencia, para garantizar la redundancia y alta disponibilidad.
(b) </t>
    </r>
    <r>
      <rPr>
        <b/>
        <sz val="10"/>
        <rFont val="Verdana"/>
        <family val="2"/>
      </rPr>
      <t>Contratar la prestación del Servicio de Centro de Datos / Nube Privada (Adición)</t>
    </r>
    <r>
      <rPr>
        <sz val="10"/>
        <rFont val="Verdana"/>
        <family val="2"/>
      </rPr>
      <t xml:space="preserve">.
El proveedor radicó las facturas correspondientes a los meses de Enero y Febrero del contrato 0059 del 2017, las cuales no ha sido posible cancelar por motivos de que no se encontraba incluido el IVA del 19% en la orden de compra, para amparar la aplicación del IVA en los servicios prestados por el proveedor.
Las evidencias se encuentran en Evidencias\I trimestre\11600-3-2-1\Nube Privada, de donde: 
Carta de justificación de adición del IVA al contrato 0059 del 2017 (Justificación Adicion.pdf)
El mes de enero (INFORME ENERO 2018 - Nube Privada.pdf y Factura mes Enero). 
El mes de febrero (INFORME FEBRERO 2018 - Nube Privada.pdf y Factura mes Febrero). 
Finalmente, para el mes de marzo No han radicado factura de cobro de dicho mes.
</t>
    </r>
    <r>
      <rPr>
        <b/>
        <sz val="10"/>
        <rFont val="Verdana"/>
        <family val="2"/>
      </rPr>
      <t>(c) Adquirir servicios de conectividad para la Entidad Administradora de los Recursos del Sistema General de Seguridad Social en Salud (Adición).</t>
    </r>
    <r>
      <rPr>
        <sz val="10"/>
        <rFont val="Verdana"/>
        <family val="2"/>
      </rPr>
      <t xml:space="preserve">
Se tiene la relación con el proveedor Century Link  Inicia Actividades el día 11 de Abril de 2017 bajo el contrato 0048 de 2017.
Las evidencias se encuentran en Evidencias\I trimestre\11600-3-2-1\Conectividad, de donde: 
El mes de enero (INFORME ENERO 2018 - Conectividad.pdf) la factura fue aprobada en el mes de abril
El mes de Febrero (INFORME FEBRERO 2018 -Conectividad.pdf) a factura fue aprobada en el mes de abril
Finalmente, para el mes de marzo No han radicado factura de dicho mes.
</t>
    </r>
    <r>
      <rPr>
        <b/>
        <sz val="10"/>
        <rFont val="Verdana"/>
        <family val="2"/>
      </rPr>
      <t>ACLARACIÓN SOBRE LA EJECUCIÓN DE LA ACTIVIDAD</t>
    </r>
    <r>
      <rPr>
        <sz val="10"/>
        <rFont val="Verdana"/>
        <family val="2"/>
      </rPr>
      <t>: Esta actividad para este trimestre tenía presupuestado ejecutar $ 670.725.074 pesos y hasta el 31/03/2018 no se ha ejecutado (pagado).</t>
    </r>
  </si>
  <si>
    <r>
      <t xml:space="preserve">Dentro de la carpeta </t>
    </r>
    <r>
      <rPr>
        <b/>
        <sz val="10"/>
        <rFont val="Verdana"/>
        <family val="2"/>
      </rPr>
      <t>Evidencias\I trimestre\11600-3-3-1</t>
    </r>
    <r>
      <rPr>
        <sz val="10"/>
        <rFont val="Verdana"/>
        <family val="2"/>
      </rPr>
      <t>se almacena un archivo indicando que para la revisión del primer trimestre no habían tareas planeadas para esta actividad.</t>
    </r>
  </si>
  <si>
    <r>
      <t xml:space="preserve">Dentro de la carpeta </t>
    </r>
    <r>
      <rPr>
        <b/>
        <sz val="10"/>
        <rFont val="Verdana"/>
        <family val="2"/>
      </rPr>
      <t>Evidencias\I trimestre\11600-3-4-1</t>
    </r>
    <r>
      <rPr>
        <sz val="10"/>
        <rFont val="Verdana"/>
        <family val="2"/>
      </rPr>
      <t xml:space="preserve"> se almacena un archivo indicando que para la revisión del primer trimestre no habían tareas planeadas para esta actividad.</t>
    </r>
  </si>
  <si>
    <r>
      <t xml:space="preserve">Dentro de la carpeta </t>
    </r>
    <r>
      <rPr>
        <b/>
        <sz val="10"/>
        <rFont val="Verdana"/>
        <family val="2"/>
      </rPr>
      <t>Evidencias\I trimestre\11600-3-6-1</t>
    </r>
    <r>
      <rPr>
        <sz val="10"/>
        <rFont val="Verdana"/>
        <family val="2"/>
      </rPr>
      <t xml:space="preserve"> se almacena un archivo indicando que para la revisión del primer trimestre no habían tareas planeadas para esta actividad.</t>
    </r>
  </si>
  <si>
    <r>
      <t>Dentro de la carpeta</t>
    </r>
    <r>
      <rPr>
        <b/>
        <sz val="10"/>
        <rFont val="Verdana"/>
        <family val="2"/>
      </rPr>
      <t xml:space="preserve"> Evidencias\I trimestre\11600-3-7-1</t>
    </r>
    <r>
      <rPr>
        <sz val="10"/>
        <rFont val="Verdana"/>
        <family val="2"/>
      </rPr>
      <t xml:space="preserve"> se encuentra la evidencia de los pagos realizados frente a esta actividad. Tener en cuenta las siguientes consideraciones:
(i) Se tiene la relación de un contratista  John Edwin Rodríguez Sánchez. Inicia Actividades el día 11 de enero de 2018 bajo el contrato 0012 de 2018.
Las evidencias se encuentran en </t>
    </r>
    <r>
      <rPr>
        <b/>
        <sz val="10"/>
        <rFont val="Verdana"/>
        <family val="2"/>
      </rPr>
      <t>Evidencias\I trimestre\11600-3-7-1\John Edwin Rodríguez Sánchez</t>
    </r>
    <r>
      <rPr>
        <sz val="10"/>
        <rFont val="Verdana"/>
        <family val="2"/>
      </rPr>
      <t xml:space="preserve">, de donde: 
El mes de diciembre 2017 (INFORME DICIEMBRE 2017.pdf), el cual ya es encuentra </t>
    </r>
    <r>
      <rPr>
        <b/>
        <sz val="10"/>
        <rFont val="Verdana"/>
        <family val="2"/>
      </rPr>
      <t>pago.</t>
    </r>
    <r>
      <rPr>
        <sz val="10"/>
        <rFont val="Verdana"/>
        <family val="2"/>
      </rPr>
      <t xml:space="preserve">
El mes de enero (JOHN RODRIGUEZ  ENERO 2018.pdf), el cual ya se encuentra </t>
    </r>
    <r>
      <rPr>
        <b/>
        <sz val="10"/>
        <rFont val="Verdana"/>
        <family val="2"/>
      </rPr>
      <t>pago</t>
    </r>
    <r>
      <rPr>
        <sz val="10"/>
        <rFont val="Verdana"/>
        <family val="2"/>
      </rPr>
      <t xml:space="preserve">. 
El mes de Febrero (JOHN RODRIGUEZ  FEBRERO 2018.pdf) ya se encuentra </t>
    </r>
    <r>
      <rPr>
        <b/>
        <sz val="10"/>
        <rFont val="Verdana"/>
        <family val="2"/>
      </rPr>
      <t>pago</t>
    </r>
    <r>
      <rPr>
        <sz val="10"/>
        <rFont val="Verdana"/>
        <family val="2"/>
      </rPr>
      <t xml:space="preserve">. 
Finalmente, para el mes de marzo (JOHN RODRIGUEZ  MARZO 2018.pdf)  se encuentra </t>
    </r>
    <r>
      <rPr>
        <b/>
        <sz val="10"/>
        <rFont val="Verdana"/>
        <family val="2"/>
      </rPr>
      <t>Radicada la cuenta</t>
    </r>
    <r>
      <rPr>
        <sz val="10"/>
        <rFont val="Verdana"/>
        <family val="2"/>
      </rPr>
      <t xml:space="preserve">.
</t>
    </r>
    <r>
      <rPr>
        <b/>
        <sz val="10"/>
        <rFont val="Verdana"/>
        <family val="2"/>
      </rPr>
      <t>ACLARACIÓN SOBRE LA EJECUCIÓN DE LA ACTIVIDAD</t>
    </r>
    <r>
      <rPr>
        <sz val="10"/>
        <rFont val="Verdana"/>
        <family val="2"/>
      </rPr>
      <t>: Esta actividad para este trimestre tenía presupuestado ejecutar $ 12.240.000 y hasta el momento se ha ejecutado (pagado) $10,880.000 + radicado mes de marzo (en proceso de pago) $4,080.000. 
Se tiene un valor ejecutado de $10.880.000 dando una diferencia de $1.380.000, la cual es producto de la fecha en la cual se firmó el contrato del contratista. 
Por tal razón, hasta el momento se tiene un 88,89% de la ejecución del presupuesto asignado para está actividad en este trimestre.</t>
    </r>
  </si>
  <si>
    <r>
      <t xml:space="preserve">Dentro de la carpeta </t>
    </r>
    <r>
      <rPr>
        <b/>
        <sz val="10"/>
        <rFont val="Verdana"/>
        <family val="2"/>
      </rPr>
      <t xml:space="preserve">Evidencias\I trimestre\11600-3-8-1 </t>
    </r>
    <r>
      <rPr>
        <sz val="10"/>
        <rFont val="Verdana"/>
        <family val="2"/>
      </rPr>
      <t xml:space="preserve">se encuentra la evidencia de los pagos realizados frente a esta actividad. Tener en cuenta las siguientes consideraciones:
(i) Se tiene la relación de tres contratistas: (a) William Andrés Páez. (b) Sergio Luis Antonio García (c) Andrés Bruce, para lo cual se ha puesto una carpeta con el nombre de cada uno de ellos.
(ii) </t>
    </r>
    <r>
      <rPr>
        <b/>
        <sz val="10"/>
        <rFont val="Verdana"/>
        <family val="2"/>
      </rPr>
      <t>William Andrés Páez</t>
    </r>
    <r>
      <rPr>
        <sz val="10"/>
        <rFont val="Verdana"/>
        <family val="2"/>
      </rPr>
      <t xml:space="preserve">. Inicia Actividades el día 11 de enero de 2018 bajo el contrato 0015 de 2018.
Las evidencias se encuentran en </t>
    </r>
    <r>
      <rPr>
        <b/>
        <sz val="10"/>
        <rFont val="Verdana"/>
        <family val="2"/>
      </rPr>
      <t>Evidencias\I trimestre\11600-3-8-1\William Andrés Páez</t>
    </r>
    <r>
      <rPr>
        <sz val="10"/>
        <rFont val="Verdana"/>
        <family val="2"/>
      </rPr>
      <t xml:space="preserve">, de donde: 
El mes de diciembre 2017 (Informe de actividades Diciembre 2017 - William Andrés Paez.pdf), el cual ya es encuentra </t>
    </r>
    <r>
      <rPr>
        <b/>
        <sz val="10"/>
        <rFont val="Verdana"/>
        <family val="2"/>
      </rPr>
      <t>pago</t>
    </r>
    <r>
      <rPr>
        <sz val="10"/>
        <rFont val="Verdana"/>
        <family val="2"/>
      </rPr>
      <t xml:space="preserve">.
El mes de enero (INFORME ENERO 2018 - WILLIAM ANDRES PAEZ .pdf), el cual ya se encuentra </t>
    </r>
    <r>
      <rPr>
        <b/>
        <sz val="10"/>
        <rFont val="Verdana"/>
        <family val="2"/>
      </rPr>
      <t>pago.</t>
    </r>
    <r>
      <rPr>
        <sz val="10"/>
        <rFont val="Verdana"/>
        <family val="2"/>
      </rPr>
      <t xml:space="preserve"> 
El mes de Febrero (INFORME FEBRERO 2018 - WILLIAM ANDRES PAEZ.pdf) ya se encuentra </t>
    </r>
    <r>
      <rPr>
        <b/>
        <sz val="10"/>
        <rFont val="Verdana"/>
        <family val="2"/>
      </rPr>
      <t>pago.</t>
    </r>
    <r>
      <rPr>
        <sz val="10"/>
        <rFont val="Verdana"/>
        <family val="2"/>
      </rPr>
      <t xml:space="preserve"> 
Finalmente, para el mes de marzo (INFORME MARZO 2018 - WILLIAM ANDRES PAEZ.pdf) el cual se encuentra</t>
    </r>
    <r>
      <rPr>
        <b/>
        <sz val="10"/>
        <rFont val="Verdana"/>
        <family val="2"/>
      </rPr>
      <t xml:space="preserve"> Radicada la cuenta</t>
    </r>
    <r>
      <rPr>
        <sz val="10"/>
        <rFont val="Verdana"/>
        <family val="2"/>
      </rPr>
      <t xml:space="preserve">.
(iii) </t>
    </r>
    <r>
      <rPr>
        <b/>
        <sz val="10"/>
        <rFont val="Verdana"/>
        <family val="2"/>
      </rPr>
      <t>Sergio Luis Antonio García</t>
    </r>
    <r>
      <rPr>
        <sz val="10"/>
        <rFont val="Verdana"/>
        <family val="2"/>
      </rPr>
      <t xml:space="preserve">. Inicia Actividades el día 11 de enero de 2018 bajo el contrato 0016 de 2018.
El mes de diciembre 2017 (Informe Diciembre SERGIO LUIS ANTONIO GARCIA.pdf), el cual ya es encuentra </t>
    </r>
    <r>
      <rPr>
        <b/>
        <sz val="10"/>
        <rFont val="Verdana"/>
        <family val="2"/>
      </rPr>
      <t>pago.</t>
    </r>
    <r>
      <rPr>
        <sz val="10"/>
        <rFont val="Verdana"/>
        <family val="2"/>
      </rPr>
      <t xml:space="preserve">
El mes de enero (INFORME ENERO SERGIO LUIS ANTONIO GARCIA.pdf), el cual ya se encuentra </t>
    </r>
    <r>
      <rPr>
        <b/>
        <sz val="10"/>
        <rFont val="Verdana"/>
        <family val="2"/>
      </rPr>
      <t>pago.</t>
    </r>
    <r>
      <rPr>
        <sz val="10"/>
        <rFont val="Verdana"/>
        <family val="2"/>
      </rPr>
      <t xml:space="preserve"> 
El mes de Febrero (INFORME FEBRERO SERGIO LUIS ANTONIO GARCIA.pdf) ya se encuentra </t>
    </r>
    <r>
      <rPr>
        <b/>
        <sz val="10"/>
        <rFont val="Verdana"/>
        <family val="2"/>
      </rPr>
      <t>pago.</t>
    </r>
    <r>
      <rPr>
        <sz val="10"/>
        <rFont val="Verdana"/>
        <family val="2"/>
      </rPr>
      <t xml:space="preserve"> 
Finalmente, para el mes de marzo (INFORME MARZO SERGIO LUIS ANTONIO GARCIA.pdf) el cual se encuentra</t>
    </r>
    <r>
      <rPr>
        <b/>
        <sz val="10"/>
        <rFont val="Verdana"/>
        <family val="2"/>
      </rPr>
      <t xml:space="preserve"> Radicada la cuenta.</t>
    </r>
    <r>
      <rPr>
        <sz val="10"/>
        <rFont val="Verdana"/>
        <family val="2"/>
      </rPr>
      <t xml:space="preserve">
(iv) </t>
    </r>
    <r>
      <rPr>
        <b/>
        <sz val="10"/>
        <rFont val="Verdana"/>
        <family val="2"/>
      </rPr>
      <t>Andrés Bruce</t>
    </r>
    <r>
      <rPr>
        <sz val="10"/>
        <rFont val="Verdana"/>
        <family val="2"/>
      </rPr>
      <t>. Inicia Actividades el día 11 de enero de 2018 bajo el contrato 0017 de 2018.
Las evidencias se encuentran en</t>
    </r>
    <r>
      <rPr>
        <b/>
        <sz val="10"/>
        <rFont val="Verdana"/>
        <family val="2"/>
      </rPr>
      <t xml:space="preserve"> Evidencias\I trimestre\11600-3-8-1\ Andrés Bruce</t>
    </r>
    <r>
      <rPr>
        <sz val="10"/>
        <rFont val="Verdana"/>
        <family val="2"/>
      </rPr>
      <t xml:space="preserve">, de donde: 
El mes de diciembre 2017 (informe DICIEMBRE ANDRES GUILLERMO BRUCE RUIZ.pdf), el cual ya es encuentra pago.
El mes de enero (Soportes Pago Enero 2018_Andres Bruce_DGTIC-BDUA.pdf), el cual ya se encuentra </t>
    </r>
    <r>
      <rPr>
        <b/>
        <sz val="10"/>
        <rFont val="Verdana"/>
        <family val="2"/>
      </rPr>
      <t>pago.</t>
    </r>
    <r>
      <rPr>
        <sz val="10"/>
        <rFont val="Verdana"/>
        <family val="2"/>
      </rPr>
      <t xml:space="preserve"> 
El mes de Febrero (Soportes Pago Febrero 2018_Andres Bruce_DGTIC-BDUA.pdf) ya se encuentra </t>
    </r>
    <r>
      <rPr>
        <b/>
        <sz val="10"/>
        <rFont val="Verdana"/>
        <family val="2"/>
      </rPr>
      <t>pago.</t>
    </r>
    <r>
      <rPr>
        <sz val="10"/>
        <rFont val="Verdana"/>
        <family val="2"/>
      </rPr>
      <t xml:space="preserve"> 
Finalmente, para el mes de marzo (Soportes Pago Marzo 2018_Andres Bruce_DGTIC-BDUA.pdf) el cual se encuentra</t>
    </r>
    <r>
      <rPr>
        <b/>
        <sz val="10"/>
        <rFont val="Verdana"/>
        <family val="2"/>
      </rPr>
      <t xml:space="preserve"> Radicada la cuenta</t>
    </r>
    <r>
      <rPr>
        <sz val="10"/>
        <rFont val="Verdana"/>
        <family val="2"/>
      </rPr>
      <t xml:space="preserve">.
</t>
    </r>
    <r>
      <rPr>
        <b/>
        <sz val="10"/>
        <rFont val="Verdana"/>
        <family val="2"/>
      </rPr>
      <t>ACLARACIÓN SOBRE LA EJECUCIÓN DE LA ACTIVIDAD</t>
    </r>
    <r>
      <rPr>
        <sz val="10"/>
        <rFont val="Verdana"/>
        <family val="2"/>
      </rPr>
      <t>: Esta actividad para este trimestre tenía presupuestado ejecutar $ 36.720.000 y hasta el momento se ha ejecutado (pagado) $32.640.000 + radicado mes de marzo (en proceso de pago) $12,240.000. Se tiene un valor ejecutado de $32.640.000 dando una diferencia de $4.080.000, la cual es producto de la fecha en la cual se firmó el contrato de cada uno de los contratistas. Por tal razón hasta el momento se tiene un 88,89% de la ejecución del presupuesto asignado para está actividad en este trimestre.</t>
    </r>
  </si>
  <si>
    <r>
      <t>Dentro de la carpeta </t>
    </r>
    <r>
      <rPr>
        <b/>
        <sz val="10"/>
        <rFont val="Verdana"/>
        <family val="2"/>
      </rPr>
      <t>Evidencias\I trimestre\11600-3-10-1 </t>
    </r>
    <r>
      <rPr>
        <sz val="10"/>
        <rFont val="Verdana"/>
        <family val="2"/>
      </rPr>
      <t xml:space="preserve">se encuentra la evidencia de los pagos realizados frente a esta actividad. Tener en cuenta las siguientes consideraciones:
(i) El proveedor es </t>
    </r>
    <r>
      <rPr>
        <b/>
        <sz val="10"/>
        <rFont val="Verdana"/>
        <family val="2"/>
      </rPr>
      <t xml:space="preserve">PC COM SA </t>
    </r>
    <r>
      <rPr>
        <sz val="10"/>
        <rFont val="Verdana"/>
        <family val="2"/>
      </rPr>
      <t xml:space="preserve">y la prestación del servicio se da bajo el contrato </t>
    </r>
    <r>
      <rPr>
        <i/>
        <sz val="10"/>
        <rFont val="Verdana"/>
        <family val="2"/>
      </rPr>
      <t>0050 de 2017</t>
    </r>
    <r>
      <rPr>
        <sz val="10"/>
        <rFont val="Verdana"/>
        <family val="2"/>
      </rPr>
      <t xml:space="preserve"> teniendo como </t>
    </r>
    <r>
      <rPr>
        <i/>
        <sz val="10"/>
        <rFont val="Verdana"/>
        <family val="2"/>
      </rPr>
      <t>vigencia 07/04/2017 hasta el 31/12/2018</t>
    </r>
    <r>
      <rPr>
        <sz val="10"/>
        <rFont val="Verdana"/>
        <family val="2"/>
      </rPr>
      <t>.
(ii) Las cuentas de cobro o facturas de estos tres meses se encuentran radicadas y revisadas por el supervisor del contrato.
(iiI) Las cuentas de cobro  o facturas del mes de enero se encuentra </t>
    </r>
    <r>
      <rPr>
        <b/>
        <sz val="10"/>
        <rFont val="Verdana"/>
        <family val="2"/>
      </rPr>
      <t>Pagada</t>
    </r>
    <r>
      <rPr>
        <sz val="10"/>
        <rFont val="Verdana"/>
        <family val="2"/>
      </rPr>
      <t>. se anexa informe de supervisor (Pago Enero.pdf)
(iv) Las cuentas de cobro  o facturas del mes de Febrero se encuentra </t>
    </r>
    <r>
      <rPr>
        <b/>
        <sz val="10"/>
        <rFont val="Verdana"/>
        <family val="2"/>
      </rPr>
      <t>Pagada</t>
    </r>
    <r>
      <rPr>
        <sz val="10"/>
        <rFont val="Verdana"/>
        <family val="2"/>
      </rPr>
      <t>. se anexa informe de supervisor (Pago Febrero 2018.pdf - Pago Febrero 2018 Firma.pdf)
(v) Finalmente, para el mes de marzo el proveedor no ha radicado factura de cobro de dicho mes.</t>
    </r>
    <r>
      <rPr>
        <b/>
        <sz val="10"/>
        <rFont val="Verdana"/>
        <family val="2"/>
      </rPr>
      <t xml:space="preserve">
ACLARACIÓN SOBRE LA EJECUCIÓN DE LA ACTIVIDAD</t>
    </r>
    <r>
      <rPr>
        <sz val="10"/>
        <rFont val="Verdana"/>
        <family val="2"/>
      </rPr>
      <t xml:space="preserve">: En esta actividad para este trimestre se tenía presupuestado ejecutar $184.372.055 y hasta el momento se ha ejecutado (pagado) $ 104.998.460. Por tal razón hasta el momento se tiene un 56,95% de la ejecución del presupuesto asignado para está actividad en este trimestre.  </t>
    </r>
  </si>
  <si>
    <r>
      <t>Avance Ejecución 0% de acuerdo con lo establecido en el Plan de Acción 2018. Los procedimientos se encuentran en revisión por parte de la Oficina Asesora de Planeación. Se tiene planeado para el</t>
    </r>
    <r>
      <rPr>
        <b/>
        <sz val="10"/>
        <rFont val="Verdana"/>
        <family val="2"/>
      </rPr>
      <t xml:space="preserve"> Segundo Trimestre</t>
    </r>
    <r>
      <rPr>
        <sz val="10"/>
        <rFont val="Verdana"/>
        <family val="2"/>
      </rPr>
      <t xml:space="preserve"> reportar el 100%.</t>
    </r>
  </si>
  <si>
    <r>
      <t xml:space="preserve">
Avance Ejecución 0% de acuerdo con lo establecido en el Plan de Acción 2018. Actividades programadas para iniciar en el </t>
    </r>
    <r>
      <rPr>
        <b/>
        <sz val="10"/>
        <rFont val="Verdana"/>
        <family val="2"/>
      </rPr>
      <t>Tercer Trimestre.</t>
    </r>
  </si>
  <si>
    <r>
      <t xml:space="preserve">Avance ejecución 0% de acuerdo con lo establecido en el Plan de Acción 2018. Actividades programadas para iniciar en el </t>
    </r>
    <r>
      <rPr>
        <b/>
        <sz val="10"/>
        <rFont val="Verdana"/>
        <family val="2"/>
      </rPr>
      <t>Segundo Trimestre.</t>
    </r>
  </si>
  <si>
    <r>
      <t xml:space="preserve">Se dio cumplimiento al avance del 28% correspondiente a la realización de 5 informes para dar respuesta a los Requerimientos Legales Internos. En la ruta One Drive </t>
    </r>
    <r>
      <rPr>
        <b/>
        <sz val="10"/>
        <rFont val="Verdana"/>
        <family val="2"/>
      </rPr>
      <t>EVIDENCIAS/Trimestre I/11800-3-2-1</t>
    </r>
    <r>
      <rPr>
        <sz val="10"/>
        <rFont val="Verdana"/>
        <family val="2"/>
      </rPr>
      <t xml:space="preserve"> se encuentran 5 carpetas con los respectivos informes y soportes de cumplimiento.
1. Evaluación Dependencias Plan de Acción y Plan Estratégico. (Informes General e informes por dependencias).
2. Verificar cumplimiento de la publicación del Plan de Acción 2018 en página Web (Informe).
3. Seguimiento a las medidas de austeridad en el gasto público en ADRES (Informe Cuarto trimestre 2017).
4. Seguimiento Acuerdos de Gestión Talento Humano (Oficio Radicado a Director General)
5. Realizar un informe pormenorizado del estado del control interno (informe con corte a marzo 2018).</t>
    </r>
  </si>
  <si>
    <r>
      <t xml:space="preserve">Se dio cumplimiento al avance del 47% del 53% proyectado en el Plan de Acción, realizando 8 informes de los 9 propuestos (1 actividad no requería Informe, sin embargo, fue cumplida) para dar respuesta a los Requerimientos Legales Externos . El informe de nombre "Acompañamiento y Consolidación del Informe de Rendición de la Cuenta Fiscal Anual y envío a la Contraloría General de la República Rendición de Cuentas", proyectado para cumplimiento el 23/03/2018, no pudo ser cumplido en la fecha establecida, ya que se presentaron errores de validación en la información remitida por las dependencias, por lo cual la OCI tuvo de validar varias veces la información antes de rendir el informe a través del aplicativo SIRECI, dicha actividad será cumplida la primera semana de Abril . En la ruta One Drive </t>
    </r>
    <r>
      <rPr>
        <b/>
        <sz val="10"/>
        <rFont val="Verdana"/>
        <family val="2"/>
      </rPr>
      <t>EVIDENCIAS/I Trimestre/11800-3-3-1</t>
    </r>
    <r>
      <rPr>
        <sz val="10"/>
        <rFont val="Verdana"/>
        <family val="2"/>
      </rPr>
      <t xml:space="preserve"> se encuentran 7 carpetas con los respectivos informes y soportes de cumplimiento.
1. Seguimiento al Plan de Mejoramiento CGR SIRECI. (Informe).
2. Revisión y envío de la Gestión Contractual del Trimestre a la CGR SIRECI. (Certificado SIRECI y Plan de Mejoramiento CGN).
3. Expedir certificación E_Kogui. (Oficio y Certificación, correos de soporte).
4. Formulación y valoración cuantitativa - cualitativa CHIP. (informe Adres, informe URA, informe UGG y oficio remisorio).
5. Encuesta de autoevaluación del Sistema de Control Interno (certificado cumplimiento FURAG - Comunicado).
6. Verificación cumplimiento licenciamiento de software y hardware. (Oficios Remisorios - Reporte enviado, Informe Seguimiento).
7. Informe del Estado de Ejecución del Presupuesto de la Entidad (Informe presupuesto URA - Informe presupuesto UGG).
8. Formulario de personal y costos en el CHIP. (Sin Informe/No Aplica).</t>
    </r>
  </si>
  <si>
    <r>
      <t xml:space="preserve">Se dio cumplimiento al avance del 50% a través de la presentación del INFORME DE SEGUIMIENTO PLAN DE MEJORAMIENTO CGR evaluado desde 1 de agosto – 31 de diciembre de 2017. En la ruta One Drive EVIDENCIAS/Trimestre I/11800-3-4-1 se encuentra la carpeta con el respectivo informe y soporte de cumplimiento. El siguiente informe correspondiente al 50%, se emitirá en el </t>
    </r>
    <r>
      <rPr>
        <b/>
        <sz val="10"/>
        <rFont val="Verdana"/>
        <family val="2"/>
      </rPr>
      <t>Tercer Trimestre.</t>
    </r>
  </si>
  <si>
    <r>
      <t xml:space="preserve">En el  mes de enero de 2018 se reportó y publicó en la página Web de la ADRES el informe de seguimiento a la ejecución del Plan de Acción correspondiente al 4° trimestre de 2017. Las evidencias se encuentran en la ruta: </t>
    </r>
    <r>
      <rPr>
        <u/>
        <sz val="10"/>
        <rFont val="Verdana"/>
        <family val="2"/>
      </rPr>
      <t>ONE DRIVE\ADRES\PLAN DE ACCION\DIRECCIÓN GENERAL\OFICINA ASESORA DE PLANEACIÓN Y CONTROL DE RIESGOS\Evidencias\I Trimestre\12000-2-1-1,</t>
    </r>
    <r>
      <rPr>
        <sz val="10"/>
        <rFont val="Verdana"/>
        <family val="2"/>
      </rPr>
      <t xml:space="preserve"> y se denominan como aparecen a continuación:
1. Correo electrónico solicitud  publicación informe.
2. Pantallazo informe publicado.
3. Plan Acción ADRES - 4° Trimestre 11-01-18.</t>
    </r>
  </si>
  <si>
    <r>
      <t xml:space="preserve">En la ruta: </t>
    </r>
    <r>
      <rPr>
        <u/>
        <sz val="10"/>
        <rFont val="Verdana"/>
        <family val="2"/>
      </rPr>
      <t>ONE DRIVE\ADRES\PLAN DE ACCION\DIRECCIÓN GENERAL\OFICINA ASESORA DE PLANEACIÓN Y CONTROL DE RIESGOS\Evidencias\I Trimestre\12000-2-2-1</t>
    </r>
    <r>
      <rPr>
        <sz val="10"/>
        <rFont val="Verdana"/>
        <family val="2"/>
      </rPr>
      <t xml:space="preserve"> se encuentran como evidencias de esta actividad los informes de cumplimiento de avance de obligaciones contractuales y pago correspondientes a los meses de enero, febrero y marzo del contrato 021 de 2018, avalados por el supervisor. Se aclara que el valor del mes de marzo ($5.136.839) fue aprobado por el Supervisor pero no se ha pagado a la fecha del reporte, razón por la cual éste no se incluye dentro de la ejecución presupuestal del primer trimestre. </t>
    </r>
  </si>
  <si>
    <r>
      <t xml:space="preserve">La entidad inició en el primer trimestre la elaboración del Informe al Congreso  de Rendición de Cuentas al Congreso de la República 2017-2018, en coordinación de la Oficina Asesora de Planeación y Control de Riesgos. 
Se estableció un documento de lineamientos que incluye el cronograma respectivo, y se hizo el envío de la primera versión consolidada del informe al Ministerio de Salud y Protección Social, evidenciando el cumplimiento del cronograma de acuerdo con lo establecido. 
En la ruta: </t>
    </r>
    <r>
      <rPr>
        <u/>
        <sz val="10"/>
        <rFont val="Verdana"/>
        <family val="2"/>
      </rPr>
      <t xml:space="preserve">ONE DRIVE\ADRES\PLAN DE ACCION\DIRECCIÓN GENERAL\OFICINA ASESORA DE PLANEACIÓN Y CONTROL DE RIESGOS\Evidencias\I Trimestre\12000-2-3-1  </t>
    </r>
    <r>
      <rPr>
        <sz val="10"/>
        <rFont val="Verdana"/>
        <family val="2"/>
      </rPr>
      <t>se encuentran como evidencias de avance el mencionado documento de lineamientos y el correo electrónico de envío del informe preliminar.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</si>
</sst>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_-;\-* #,##0.00_-;_-* &quot;-&quot;_-;_-@_-"/>
    <numFmt numFmtId="166" formatCode="_-* #,##0.000_-;\-* #,##0.000_-;_-* &quot;-&quot;_-;_-@_-"/>
    <numFmt numFmtId="167" formatCode="0.0"/>
    <numFmt numFmtId="168" formatCode="0.0%"/>
    <numFmt numFmtId="169" formatCode="#,##0_ ;\-#,##0\ "/>
    <numFmt numFmtId="170" formatCode="_-* #,##0.000_-;\-* #,##0.000_-;_-* &quot;-&quot;???_-;_-@_-"/>
    <numFmt numFmtId="171" formatCode="[$$-240A]#,##0;[Red][$$-240A]#,##0"/>
    <numFmt numFmtId="172" formatCode="_-[$$-409]* #,##0.00_ ;_-[$$-409]* \-#,##0.00\ ;_-[$$-409]* &quot;-&quot;??_ ;_-@_ "/>
    <numFmt numFmtId="173" formatCode="&quot;$&quot;\ #,##0"/>
  </numFmts>
  <fonts count="89" x14ac:knownFonts="1">
    <font>
      <sz val="11"/>
      <color theme="1"/>
      <name val="Calibri"/>
      <family val="2"/>
      <scheme val="minor"/>
    </font>
    <font>
      <b/>
      <sz val="9"/>
      <color theme="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Verdana"/>
      <family val="2"/>
    </font>
    <font>
      <b/>
      <sz val="11"/>
      <color rgb="FFFF0000"/>
      <name val="Calibri"/>
      <family val="2"/>
      <scheme val="minor"/>
    </font>
    <font>
      <sz val="11"/>
      <name val="Calibri"/>
      <family val="2"/>
      <scheme val="minor"/>
    </font>
    <font>
      <b/>
      <sz val="9"/>
      <color indexed="81"/>
      <name val="Tahoma"/>
      <family val="2"/>
    </font>
    <font>
      <sz val="9"/>
      <color indexed="81"/>
      <name val="Tahoma"/>
      <family val="2"/>
    </font>
    <font>
      <sz val="11"/>
      <color rgb="FFFF0000"/>
      <name val="Calibri"/>
      <family val="2"/>
      <scheme val="minor"/>
    </font>
    <font>
      <sz val="8"/>
      <color theme="1" tint="0.499984740745262"/>
      <name val="Calibri"/>
      <family val="2"/>
      <scheme val="minor"/>
    </font>
    <font>
      <sz val="9"/>
      <color theme="1"/>
      <name val="Calibri"/>
      <family val="2"/>
      <scheme val="minor"/>
    </font>
    <font>
      <b/>
      <sz val="8"/>
      <color rgb="FF0000FF"/>
      <name val="Calibri"/>
      <family val="2"/>
      <scheme val="minor"/>
    </font>
    <font>
      <sz val="8.5"/>
      <color theme="1"/>
      <name val="Calibri"/>
      <family val="2"/>
      <scheme val="minor"/>
    </font>
    <font>
      <b/>
      <sz val="9"/>
      <color rgb="FF000000"/>
      <name val="Calibri"/>
      <family val="2"/>
      <scheme val="minor"/>
    </font>
    <font>
      <sz val="10"/>
      <color theme="1"/>
      <name val="Arial"/>
      <family val="2"/>
    </font>
    <font>
      <u/>
      <sz val="10"/>
      <color theme="10"/>
      <name val="Arial"/>
      <family val="2"/>
    </font>
    <font>
      <sz val="11"/>
      <color theme="4" tint="-0.249977111117893"/>
      <name val="Calibri"/>
      <family val="2"/>
      <scheme val="minor"/>
    </font>
    <font>
      <b/>
      <sz val="11"/>
      <color indexed="81"/>
      <name val="Tahoma"/>
      <family val="2"/>
    </font>
    <font>
      <b/>
      <sz val="10"/>
      <color indexed="81"/>
      <name val="Tahoma"/>
      <family val="2"/>
    </font>
    <font>
      <b/>
      <sz val="10"/>
      <name val="Arial"/>
      <family val="2"/>
    </font>
    <font>
      <sz val="11"/>
      <name val="Arial"/>
      <family val="2"/>
    </font>
    <font>
      <b/>
      <sz val="11"/>
      <color theme="4"/>
      <name val="Calibri"/>
      <family val="2"/>
      <scheme val="minor"/>
    </font>
    <font>
      <u/>
      <sz val="11"/>
      <color theme="10"/>
      <name val="Calibri"/>
      <family val="2"/>
      <scheme val="minor"/>
    </font>
    <font>
      <b/>
      <u/>
      <sz val="11"/>
      <color rgb="FF175099"/>
      <name val="Calibri"/>
      <family val="2"/>
      <scheme val="minor"/>
    </font>
    <font>
      <u/>
      <sz val="11"/>
      <color rgb="FF175099"/>
      <name val="Calibri"/>
      <family val="2"/>
      <scheme val="minor"/>
    </font>
    <font>
      <sz val="11"/>
      <color theme="1"/>
      <name val="Arial"/>
      <family val="2"/>
    </font>
    <font>
      <sz val="12"/>
      <color theme="1"/>
      <name val="Arial"/>
      <family val="2"/>
    </font>
    <font>
      <b/>
      <sz val="10"/>
      <color theme="1"/>
      <name val="Arial"/>
      <family val="2"/>
    </font>
    <font>
      <b/>
      <sz val="12"/>
      <color theme="1"/>
      <name val="Arial"/>
      <family val="2"/>
    </font>
    <font>
      <b/>
      <sz val="11"/>
      <color theme="1"/>
      <name val="Arial"/>
      <family val="2"/>
    </font>
    <font>
      <sz val="11"/>
      <color rgb="FFFF0000"/>
      <name val="Arial"/>
      <family val="2"/>
    </font>
    <font>
      <b/>
      <sz val="11"/>
      <color theme="0"/>
      <name val="Arial"/>
      <family val="2"/>
    </font>
    <font>
      <sz val="8"/>
      <color theme="1" tint="0.499984740745262"/>
      <name val="Arial"/>
      <family val="2"/>
    </font>
    <font>
      <sz val="9"/>
      <color theme="1"/>
      <name val="Arial"/>
      <family val="2"/>
    </font>
    <font>
      <b/>
      <sz val="9"/>
      <color rgb="FF000000"/>
      <name val="Arial"/>
      <family val="2"/>
    </font>
    <font>
      <b/>
      <sz val="12"/>
      <name val="Verdana"/>
      <family val="2"/>
    </font>
    <font>
      <sz val="12"/>
      <color theme="1"/>
      <name val="Verdana"/>
      <family val="2"/>
    </font>
    <font>
      <b/>
      <sz val="14"/>
      <color indexed="9"/>
      <name val="Verdana"/>
      <family val="2"/>
    </font>
    <font>
      <sz val="14"/>
      <color theme="1"/>
      <name val="Verdana"/>
      <family val="2"/>
    </font>
    <font>
      <b/>
      <sz val="14"/>
      <name val="Verdana"/>
      <family val="2"/>
    </font>
    <font>
      <b/>
      <sz val="14"/>
      <color rgb="FFC00000"/>
      <name val="Verdana"/>
      <family val="2"/>
    </font>
    <font>
      <sz val="11"/>
      <color theme="1"/>
      <name val="Verdana"/>
      <family val="2"/>
    </font>
    <font>
      <b/>
      <sz val="14"/>
      <color theme="1"/>
      <name val="Verdana"/>
      <family val="2"/>
    </font>
    <font>
      <sz val="11"/>
      <color indexed="8"/>
      <name val="Verdana"/>
      <family val="2"/>
    </font>
    <font>
      <b/>
      <sz val="10"/>
      <name val="Verdana"/>
      <family val="2"/>
    </font>
    <font>
      <sz val="10"/>
      <color theme="1" tint="0.499984740745262"/>
      <name val="Verdana"/>
      <family val="2"/>
    </font>
    <font>
      <sz val="10"/>
      <color theme="1"/>
      <name val="Verdana"/>
      <family val="2"/>
    </font>
    <font>
      <b/>
      <sz val="10"/>
      <color rgb="FF000000"/>
      <name val="Verdana"/>
      <family val="2"/>
    </font>
    <font>
      <b/>
      <sz val="12"/>
      <color indexed="18"/>
      <name val="Verdana"/>
      <family val="2"/>
    </font>
    <font>
      <sz val="12"/>
      <color indexed="8"/>
      <name val="Verdana"/>
      <family val="2"/>
    </font>
    <font>
      <sz val="9"/>
      <color theme="1"/>
      <name val="Verdana"/>
      <family val="2"/>
    </font>
    <font>
      <b/>
      <sz val="16"/>
      <color indexed="9"/>
      <name val="Verdana"/>
      <family val="2"/>
    </font>
    <font>
      <b/>
      <sz val="12"/>
      <color indexed="9"/>
      <name val="Verdana"/>
      <family val="2"/>
    </font>
    <font>
      <b/>
      <sz val="10"/>
      <color indexed="9"/>
      <name val="Verdana"/>
      <family val="2"/>
    </font>
    <font>
      <b/>
      <sz val="11"/>
      <color indexed="8"/>
      <name val="Verdana"/>
      <family val="2"/>
    </font>
    <font>
      <sz val="11"/>
      <color rgb="FF175099"/>
      <name val="Verdana"/>
      <family val="2"/>
    </font>
    <font>
      <sz val="11"/>
      <name val="Verdana"/>
      <family val="2"/>
    </font>
    <font>
      <sz val="12"/>
      <name val="Verdana"/>
      <family val="2"/>
    </font>
    <font>
      <b/>
      <sz val="11"/>
      <color indexed="18"/>
      <name val="Verdana"/>
      <family val="2"/>
    </font>
    <font>
      <b/>
      <sz val="12"/>
      <color indexed="8"/>
      <name val="Verdana"/>
      <family val="2"/>
    </font>
    <font>
      <sz val="11"/>
      <color rgb="FF00B050"/>
      <name val="Verdana"/>
      <family val="2"/>
    </font>
    <font>
      <sz val="16"/>
      <color indexed="8"/>
      <name val="Verdana"/>
      <family val="2"/>
    </font>
    <font>
      <b/>
      <sz val="16"/>
      <color indexed="8"/>
      <name val="Verdana"/>
      <family val="2"/>
    </font>
    <font>
      <b/>
      <sz val="14"/>
      <color indexed="8"/>
      <name val="Verdana"/>
      <family val="2"/>
    </font>
    <font>
      <b/>
      <sz val="16"/>
      <name val="Verdana"/>
      <family val="2"/>
    </font>
    <font>
      <b/>
      <sz val="11"/>
      <color rgb="FF175099"/>
      <name val="Verdana"/>
      <family val="2"/>
    </font>
    <font>
      <sz val="16"/>
      <color indexed="18"/>
      <name val="Verdana"/>
      <family val="2"/>
    </font>
    <font>
      <sz val="10"/>
      <color indexed="8"/>
      <name val="Verdana"/>
      <family val="2"/>
    </font>
    <font>
      <sz val="14"/>
      <color indexed="8"/>
      <name val="Verdana"/>
      <family val="2"/>
    </font>
    <font>
      <b/>
      <sz val="20"/>
      <color indexed="8"/>
      <name val="Verdana"/>
      <family val="2"/>
    </font>
    <font>
      <b/>
      <sz val="20"/>
      <name val="Verdana"/>
      <family val="2"/>
    </font>
    <font>
      <sz val="11"/>
      <color indexed="8"/>
      <name val="Arial"/>
      <family val="2"/>
    </font>
    <font>
      <b/>
      <sz val="10"/>
      <color indexed="8"/>
      <name val="Verdana"/>
      <family val="2"/>
    </font>
    <font>
      <b/>
      <sz val="9"/>
      <color indexed="8"/>
      <name val="Verdana"/>
      <family val="2"/>
    </font>
    <font>
      <sz val="11"/>
      <color theme="1"/>
      <name val="Arial Narrow"/>
      <family val="2"/>
    </font>
    <font>
      <b/>
      <sz val="8"/>
      <color theme="1"/>
      <name val="Verdana"/>
      <family val="2"/>
    </font>
    <font>
      <b/>
      <sz val="9"/>
      <color theme="1"/>
      <name val="Verdana"/>
      <family val="2"/>
    </font>
    <font>
      <b/>
      <u/>
      <sz val="11"/>
      <color theme="1"/>
      <name val="Verdana"/>
      <family val="2"/>
    </font>
    <font>
      <b/>
      <sz val="9"/>
      <color theme="0"/>
      <name val="Verdana"/>
      <family val="2"/>
    </font>
    <font>
      <b/>
      <sz val="10"/>
      <color theme="1"/>
      <name val="Calibri"/>
      <family val="2"/>
      <scheme val="minor"/>
    </font>
    <font>
      <sz val="10"/>
      <name val="Verdana"/>
      <family val="2"/>
    </font>
    <font>
      <i/>
      <sz val="10"/>
      <name val="Verdana"/>
      <family val="2"/>
    </font>
    <font>
      <u/>
      <sz val="10"/>
      <name val="Verdana"/>
      <family val="2"/>
    </font>
    <font>
      <b/>
      <sz val="14"/>
      <color theme="0"/>
      <name val="Verdana"/>
      <family val="2"/>
    </font>
    <font>
      <sz val="14"/>
      <name val="Verdana"/>
      <family val="2"/>
    </font>
  </fonts>
  <fills count="2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rgb="FFDBE5F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80808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30"/>
        <bgColor indexed="64"/>
      </patternFill>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175099"/>
        <bgColor indexed="64"/>
      </patternFill>
    </fill>
    <fill>
      <patternFill patternType="solid">
        <fgColor rgb="FF00ACCA"/>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4">
    <xf numFmtId="0" fontId="0" fillId="0" borderId="0"/>
    <xf numFmtId="9" fontId="2" fillId="0" borderId="0" applyFont="0" applyFill="0" applyBorder="0" applyAlignment="0" applyProtection="0"/>
    <xf numFmtId="0" fontId="5" fillId="0" borderId="0"/>
    <xf numFmtId="41" fontId="2" fillId="0" borderId="0" applyFont="0" applyFill="0" applyBorder="0" applyAlignment="0" applyProtection="0"/>
    <xf numFmtId="0" fontId="7" fillId="11" borderId="0" applyNumberFormat="0" applyBorder="0" applyProtection="0">
      <alignment horizontal="center" vertical="center"/>
    </xf>
    <xf numFmtId="42" fontId="2" fillId="0" borderId="0" applyFont="0" applyFill="0" applyBorder="0" applyAlignment="0" applyProtection="0"/>
    <xf numFmtId="0" fontId="7" fillId="14" borderId="1" applyNumberFormat="0" applyProtection="0">
      <alignment horizontal="left" vertical="center" wrapText="1"/>
    </xf>
    <xf numFmtId="0" fontId="18" fillId="0" borderId="0"/>
    <xf numFmtId="164" fontId="18" fillId="0" borderId="0" applyFont="0" applyFill="0" applyBorder="0" applyAlignment="0" applyProtection="0"/>
    <xf numFmtId="42" fontId="18" fillId="0" borderId="0" applyFont="0" applyFill="0" applyBorder="0" applyAlignment="0" applyProtection="0"/>
    <xf numFmtId="41" fontId="18" fillId="0" borderId="0" applyFont="0" applyFill="0" applyBorder="0" applyAlignment="0" applyProtection="0"/>
    <xf numFmtId="0" fontId="19"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cellStyleXfs>
  <cellXfs count="1083">
    <xf numFmtId="0" fontId="0" fillId="0" borderId="0" xfId="0"/>
    <xf numFmtId="0" fontId="0" fillId="0" borderId="1" xfId="0" applyBorder="1"/>
    <xf numFmtId="0" fontId="0" fillId="0" borderId="1" xfId="0" applyBorder="1" applyAlignment="1">
      <alignment vertical="top"/>
    </xf>
    <xf numFmtId="0" fontId="0" fillId="0" borderId="1" xfId="0" applyBorder="1" applyAlignment="1">
      <alignment vertical="top" wrapText="1"/>
    </xf>
    <xf numFmtId="9" fontId="0" fillId="0" borderId="0" xfId="1" applyFont="1"/>
    <xf numFmtId="0" fontId="0" fillId="0" borderId="0" xfId="0" applyFill="1" applyBorder="1" applyAlignment="1">
      <alignment vertical="top"/>
    </xf>
    <xf numFmtId="0" fontId="0" fillId="0" borderId="1" xfId="0" applyFill="1" applyBorder="1" applyAlignment="1">
      <alignment vertical="top" wrapText="1"/>
    </xf>
    <xf numFmtId="0" fontId="0" fillId="3" borderId="1" xfId="0" applyFill="1" applyBorder="1" applyAlignment="1">
      <alignment vertical="top" wrapText="1"/>
    </xf>
    <xf numFmtId="0" fontId="4" fillId="5" borderId="1" xfId="0" applyFont="1" applyFill="1" applyBorder="1" applyAlignment="1">
      <alignment horizontal="center" vertical="center"/>
    </xf>
    <xf numFmtId="0" fontId="0" fillId="0" borderId="0" xfId="0" applyAlignment="1">
      <alignment vertical="center"/>
    </xf>
    <xf numFmtId="0" fontId="4" fillId="5" borderId="1" xfId="0" applyFont="1" applyFill="1" applyBorder="1" applyAlignment="1">
      <alignment horizontal="center" vertical="center" wrapText="1"/>
    </xf>
    <xf numFmtId="0" fontId="0" fillId="0" borderId="3" xfId="0" applyBorder="1" applyAlignment="1"/>
    <xf numFmtId="0" fontId="1" fillId="8" borderId="1" xfId="0" applyFont="1" applyFill="1" applyBorder="1" applyAlignment="1">
      <alignment horizontal="center" vertical="center" wrapText="1"/>
    </xf>
    <xf numFmtId="9" fontId="0" fillId="7" borderId="1" xfId="1" applyFont="1" applyFill="1" applyBorder="1" applyAlignment="1">
      <alignment vertical="center" wrapText="1"/>
    </xf>
    <xf numFmtId="0" fontId="0" fillId="0" borderId="0" xfId="0" applyAlignment="1">
      <alignment horizontal="center"/>
    </xf>
    <xf numFmtId="9" fontId="0" fillId="6" borderId="1" xfId="1" applyFont="1" applyFill="1" applyBorder="1" applyAlignment="1">
      <alignment vertical="center" wrapText="1"/>
    </xf>
    <xf numFmtId="0" fontId="0" fillId="3" borderId="1" xfId="0" applyFill="1" applyBorder="1"/>
    <xf numFmtId="9" fontId="0" fillId="3" borderId="1" xfId="1" applyFont="1" applyFill="1" applyBorder="1" applyAlignment="1">
      <alignment vertical="center" wrapText="1"/>
    </xf>
    <xf numFmtId="0" fontId="0" fillId="3" borderId="0" xfId="0" applyFill="1"/>
    <xf numFmtId="0" fontId="0" fillId="9" borderId="1" xfId="0" applyFill="1" applyBorder="1" applyAlignment="1">
      <alignment vertical="top" wrapText="1"/>
    </xf>
    <xf numFmtId="41" fontId="0" fillId="0" borderId="0" xfId="3" applyFont="1"/>
    <xf numFmtId="0" fontId="0" fillId="9" borderId="1" xfId="0" applyFill="1" applyBorder="1"/>
    <xf numFmtId="0" fontId="4" fillId="5" borderId="0" xfId="0" applyFont="1" applyFill="1" applyBorder="1" applyAlignment="1">
      <alignment horizontal="center" vertical="center" wrapText="1"/>
    </xf>
    <xf numFmtId="0" fontId="0" fillId="0" borderId="0" xfId="0" applyBorder="1"/>
    <xf numFmtId="0" fontId="0" fillId="0" borderId="4"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9" borderId="8" xfId="0" applyFill="1" applyBorder="1" applyAlignment="1">
      <alignment vertical="top" wrapText="1"/>
    </xf>
    <xf numFmtId="0" fontId="0" fillId="3" borderId="6" xfId="0" applyFill="1" applyBorder="1" applyAlignment="1">
      <alignment vertical="top" wrapText="1"/>
    </xf>
    <xf numFmtId="0" fontId="0" fillId="3" borderId="8" xfId="0" applyFill="1" applyBorder="1" applyAlignment="1">
      <alignment vertical="top" wrapText="1"/>
    </xf>
    <xf numFmtId="0" fontId="0" fillId="3" borderId="12" xfId="0" applyFill="1" applyBorder="1" applyAlignment="1">
      <alignment vertical="top" wrapText="1"/>
    </xf>
    <xf numFmtId="0" fontId="0" fillId="9" borderId="10" xfId="0"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41" fontId="0" fillId="5" borderId="1" xfId="3" applyFont="1" applyFill="1" applyBorder="1" applyAlignment="1">
      <alignment vertical="center"/>
    </xf>
    <xf numFmtId="9" fontId="0" fillId="5" borderId="1" xfId="1" applyFont="1" applyFill="1" applyBorder="1" applyAlignment="1">
      <alignment vertical="center"/>
    </xf>
    <xf numFmtId="0" fontId="0" fillId="5" borderId="1" xfId="0" applyFill="1" applyBorder="1" applyAlignment="1">
      <alignment vertical="top" wrapText="1"/>
    </xf>
    <xf numFmtId="0" fontId="0" fillId="5" borderId="1" xfId="0" applyFill="1" applyBorder="1"/>
    <xf numFmtId="0" fontId="0" fillId="5" borderId="1" xfId="1" applyNumberFormat="1" applyFont="1" applyFill="1" applyBorder="1" applyAlignment="1">
      <alignment vertical="center"/>
    </xf>
    <xf numFmtId="9" fontId="0" fillId="5" borderId="1" xfId="1" applyFont="1" applyFill="1" applyBorder="1" applyAlignment="1">
      <alignment vertical="center" wrapText="1"/>
    </xf>
    <xf numFmtId="0" fontId="0" fillId="5" borderId="0" xfId="0" applyFill="1"/>
    <xf numFmtId="9" fontId="0" fillId="5" borderId="1" xfId="0" applyNumberFormat="1" applyFill="1" applyBorder="1" applyAlignment="1">
      <alignment vertical="center"/>
    </xf>
    <xf numFmtId="9" fontId="0" fillId="5" borderId="1" xfId="1" applyFont="1" applyFill="1" applyBorder="1" applyAlignment="1">
      <alignment horizontal="right" vertical="center"/>
    </xf>
    <xf numFmtId="41" fontId="0" fillId="0" borderId="0" xfId="0" applyNumberFormat="1"/>
    <xf numFmtId="41" fontId="0" fillId="5" borderId="1" xfId="0" applyNumberFormat="1" applyFill="1" applyBorder="1" applyAlignment="1">
      <alignment vertical="center"/>
    </xf>
    <xf numFmtId="9" fontId="0" fillId="5" borderId="1" xfId="0" applyNumberFormat="1" applyFill="1" applyBorder="1" applyAlignment="1">
      <alignment horizontal="right" vertical="center"/>
    </xf>
    <xf numFmtId="41" fontId="0" fillId="5" borderId="1" xfId="3" applyFont="1" applyFill="1" applyBorder="1" applyAlignment="1">
      <alignment horizontal="right" vertical="center"/>
    </xf>
    <xf numFmtId="1" fontId="0" fillId="5" borderId="1" xfId="1" applyNumberFormat="1" applyFont="1" applyFill="1" applyBorder="1" applyAlignment="1">
      <alignment horizontal="right" vertical="center"/>
    </xf>
    <xf numFmtId="1" fontId="0" fillId="5" borderId="1" xfId="0" applyNumberFormat="1" applyFill="1" applyBorder="1" applyAlignment="1">
      <alignment horizontal="right" vertical="center"/>
    </xf>
    <xf numFmtId="9" fontId="8" fillId="5" borderId="1" xfId="1" applyFont="1" applyFill="1" applyBorder="1" applyAlignment="1">
      <alignment horizontal="right" vertical="center"/>
    </xf>
    <xf numFmtId="9" fontId="0" fillId="5" borderId="1" xfId="1" applyFont="1" applyFill="1" applyBorder="1"/>
    <xf numFmtId="9" fontId="0" fillId="5" borderId="1" xfId="0" applyNumberFormat="1" applyFill="1" applyBorder="1" applyAlignment="1">
      <alignment vertical="center" wrapText="1"/>
    </xf>
    <xf numFmtId="9" fontId="0" fillId="9" borderId="1" xfId="1" applyFont="1" applyFill="1" applyBorder="1" applyAlignment="1">
      <alignment vertical="center" wrapText="1"/>
    </xf>
    <xf numFmtId="0" fontId="0" fillId="9" borderId="0" xfId="0" applyFill="1"/>
    <xf numFmtId="0" fontId="0" fillId="9" borderId="12" xfId="0" applyFill="1" applyBorder="1" applyAlignment="1">
      <alignment vertical="top" wrapText="1"/>
    </xf>
    <xf numFmtId="0" fontId="0" fillId="0" borderId="16" xfId="0" applyBorder="1" applyAlignment="1">
      <alignment vertical="top" wrapText="1"/>
    </xf>
    <xf numFmtId="41" fontId="0" fillId="5" borderId="1" xfId="0" applyNumberFormat="1"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vertical="center" wrapText="1"/>
    </xf>
    <xf numFmtId="0" fontId="0" fillId="12" borderId="1" xfId="0" applyFill="1" applyBorder="1" applyAlignment="1">
      <alignment horizontal="right" vertical="center"/>
    </xf>
    <xf numFmtId="0" fontId="0" fillId="12" borderId="1" xfId="0" applyFill="1" applyBorder="1" applyAlignment="1">
      <alignment horizontal="center" vertical="center"/>
    </xf>
    <xf numFmtId="0" fontId="0" fillId="12" borderId="1" xfId="0" applyFill="1" applyBorder="1" applyAlignment="1">
      <alignment horizontal="left" vertical="center" wrapText="1"/>
    </xf>
    <xf numFmtId="41" fontId="0" fillId="12" borderId="1" xfId="3" applyFont="1" applyFill="1" applyBorder="1" applyAlignment="1">
      <alignment vertical="center"/>
    </xf>
    <xf numFmtId="9" fontId="0" fillId="12" borderId="1" xfId="1" applyFont="1" applyFill="1" applyBorder="1" applyAlignment="1">
      <alignment vertical="center"/>
    </xf>
    <xf numFmtId="0" fontId="0" fillId="12" borderId="1" xfId="0" applyFill="1" applyBorder="1" applyAlignment="1">
      <alignment vertical="top" wrapText="1"/>
    </xf>
    <xf numFmtId="0" fontId="0" fillId="12" borderId="1" xfId="0" applyFill="1" applyBorder="1"/>
    <xf numFmtId="0" fontId="0" fillId="12" borderId="1" xfId="1" applyNumberFormat="1" applyFont="1" applyFill="1" applyBorder="1" applyAlignment="1">
      <alignment vertical="center"/>
    </xf>
    <xf numFmtId="9" fontId="0" fillId="12" borderId="1" xfId="1" applyFont="1" applyFill="1" applyBorder="1" applyAlignment="1">
      <alignment vertical="center" wrapText="1"/>
    </xf>
    <xf numFmtId="0" fontId="0" fillId="12" borderId="0" xfId="0" applyFill="1"/>
    <xf numFmtId="9" fontId="0" fillId="12" borderId="1" xfId="0" applyNumberFormat="1" applyFill="1" applyBorder="1" applyAlignment="1">
      <alignment vertical="center"/>
    </xf>
    <xf numFmtId="9" fontId="0" fillId="12" borderId="1" xfId="1" applyFont="1" applyFill="1" applyBorder="1" applyAlignment="1">
      <alignment horizontal="right" vertical="center"/>
    </xf>
    <xf numFmtId="0" fontId="0" fillId="12" borderId="1" xfId="0" applyNumberFormat="1" applyFill="1" applyBorder="1" applyAlignment="1">
      <alignment vertical="center"/>
    </xf>
    <xf numFmtId="41" fontId="0" fillId="12" borderId="1" xfId="0" applyNumberFormat="1" applyFill="1" applyBorder="1" applyAlignment="1">
      <alignment vertical="center" wrapText="1"/>
    </xf>
    <xf numFmtId="0" fontId="0" fillId="13" borderId="1" xfId="0" applyFill="1" applyBorder="1" applyAlignment="1">
      <alignment vertical="center"/>
    </xf>
    <xf numFmtId="0" fontId="0" fillId="13" borderId="1" xfId="0" applyFill="1" applyBorder="1" applyAlignment="1">
      <alignment vertical="center" wrapText="1"/>
    </xf>
    <xf numFmtId="0" fontId="0" fillId="13" borderId="1" xfId="0" applyFill="1" applyBorder="1" applyAlignment="1">
      <alignment horizontal="center" vertical="center"/>
    </xf>
    <xf numFmtId="0" fontId="0" fillId="13" borderId="1" xfId="0" applyFill="1" applyBorder="1" applyAlignment="1">
      <alignment horizontal="left" vertical="center" wrapText="1"/>
    </xf>
    <xf numFmtId="41" fontId="0" fillId="13" borderId="1" xfId="3" applyFont="1" applyFill="1" applyBorder="1" applyAlignment="1">
      <alignment vertical="center"/>
    </xf>
    <xf numFmtId="9" fontId="0" fillId="13" borderId="1" xfId="1" applyFont="1" applyFill="1" applyBorder="1" applyAlignment="1">
      <alignment vertical="center"/>
    </xf>
    <xf numFmtId="0" fontId="0" fillId="13" borderId="1" xfId="0" applyFill="1" applyBorder="1" applyAlignment="1">
      <alignment vertical="top" wrapText="1"/>
    </xf>
    <xf numFmtId="0" fontId="0" fillId="13" borderId="1" xfId="0" applyFill="1" applyBorder="1"/>
    <xf numFmtId="41" fontId="0" fillId="13" borderId="1" xfId="0" applyNumberFormat="1" applyFill="1" applyBorder="1" applyAlignment="1">
      <alignment vertical="center" wrapText="1"/>
    </xf>
    <xf numFmtId="0" fontId="0" fillId="13" borderId="1" xfId="1" applyNumberFormat="1" applyFont="1" applyFill="1" applyBorder="1" applyAlignment="1">
      <alignment vertical="center"/>
    </xf>
    <xf numFmtId="9" fontId="0" fillId="13" borderId="1" xfId="1" applyFont="1" applyFill="1" applyBorder="1" applyAlignment="1">
      <alignment horizontal="center" vertical="center"/>
    </xf>
    <xf numFmtId="0" fontId="0" fillId="13" borderId="1" xfId="0" applyFill="1" applyBorder="1" applyAlignment="1">
      <alignment horizontal="left" vertical="top" wrapText="1"/>
    </xf>
    <xf numFmtId="9" fontId="9" fillId="13" borderId="1" xfId="0" applyNumberFormat="1" applyFont="1" applyFill="1" applyBorder="1" applyAlignment="1">
      <alignment horizontal="center" vertical="center"/>
    </xf>
    <xf numFmtId="9" fontId="0" fillId="13" borderId="1" xfId="0" applyNumberFormat="1" applyFill="1" applyBorder="1" applyAlignment="1">
      <alignment vertical="center" wrapText="1"/>
    </xf>
    <xf numFmtId="166" fontId="0" fillId="13" borderId="1" xfId="0" applyNumberFormat="1" applyFill="1" applyBorder="1"/>
    <xf numFmtId="9" fontId="0" fillId="13" borderId="1" xfId="0" applyNumberFormat="1" applyFill="1" applyBorder="1" applyAlignment="1">
      <alignment horizontal="center" vertical="center"/>
    </xf>
    <xf numFmtId="165" fontId="0" fillId="13" borderId="1" xfId="0" applyNumberFormat="1" applyFill="1" applyBorder="1"/>
    <xf numFmtId="41" fontId="0" fillId="13" borderId="1" xfId="0" applyNumberFormat="1" applyFill="1" applyBorder="1" applyAlignment="1">
      <alignment vertical="center"/>
    </xf>
    <xf numFmtId="0" fontId="0" fillId="13" borderId="0" xfId="0" applyFill="1"/>
    <xf numFmtId="41" fontId="0" fillId="13" borderId="1" xfId="1" applyNumberFormat="1" applyFont="1" applyFill="1" applyBorder="1" applyAlignment="1">
      <alignment vertical="center"/>
    </xf>
    <xf numFmtId="9" fontId="0" fillId="12" borderId="1" xfId="0" applyNumberFormat="1" applyFill="1" applyBorder="1" applyAlignment="1">
      <alignment horizontal="right" vertical="center"/>
    </xf>
    <xf numFmtId="9" fontId="0" fillId="12" borderId="1" xfId="0" applyNumberFormat="1" applyFill="1" applyBorder="1"/>
    <xf numFmtId="9" fontId="0" fillId="5" borderId="1" xfId="0" applyNumberFormat="1" applyFill="1" applyBorder="1"/>
    <xf numFmtId="0" fontId="0" fillId="5" borderId="1" xfId="0" applyFill="1" applyBorder="1" applyAlignment="1">
      <alignment horizontal="left" vertical="top" wrapText="1"/>
    </xf>
    <xf numFmtId="9" fontId="0" fillId="5" borderId="1" xfId="0" applyNumberFormat="1" applyFill="1" applyBorder="1" applyAlignment="1">
      <alignment horizontal="center" vertical="center"/>
    </xf>
    <xf numFmtId="0" fontId="0" fillId="5" borderId="1" xfId="0" applyFill="1" applyBorder="1" applyAlignment="1">
      <alignment wrapText="1"/>
    </xf>
    <xf numFmtId="165" fontId="0" fillId="12" borderId="1" xfId="0" applyNumberFormat="1" applyFill="1" applyBorder="1"/>
    <xf numFmtId="9" fontId="0" fillId="12" borderId="1" xfId="1" applyFont="1" applyFill="1" applyBorder="1" applyAlignment="1">
      <alignment horizontal="center" vertical="center"/>
    </xf>
    <xf numFmtId="0" fontId="0" fillId="12" borderId="1" xfId="0" applyFill="1" applyBorder="1" applyAlignment="1">
      <alignment horizontal="left" vertical="top" wrapText="1"/>
    </xf>
    <xf numFmtId="9" fontId="0" fillId="12" borderId="1" xfId="0" applyNumberFormat="1" applyFill="1" applyBorder="1" applyAlignment="1">
      <alignment horizontal="center" vertical="center"/>
    </xf>
    <xf numFmtId="0" fontId="0" fillId="12" borderId="17" xfId="0" applyFill="1" applyBorder="1" applyAlignment="1">
      <alignment vertical="center" wrapText="1"/>
    </xf>
    <xf numFmtId="0" fontId="0" fillId="12" borderId="17" xfId="0" applyFill="1" applyBorder="1" applyAlignment="1">
      <alignment horizontal="left" vertical="center" wrapText="1"/>
    </xf>
    <xf numFmtId="42" fontId="0" fillId="12" borderId="0" xfId="5" applyFont="1" applyFill="1"/>
    <xf numFmtId="9" fontId="0" fillId="12" borderId="0" xfId="0" applyNumberFormat="1" applyFill="1"/>
    <xf numFmtId="42" fontId="0" fillId="12" borderId="0" xfId="0" applyNumberFormat="1" applyFill="1"/>
    <xf numFmtId="43" fontId="0" fillId="12" borderId="1" xfId="0" applyNumberFormat="1" applyFill="1" applyBorder="1"/>
    <xf numFmtId="1" fontId="0" fillId="12" borderId="1" xfId="1" applyNumberFormat="1" applyFont="1" applyFill="1" applyBorder="1" applyAlignment="1">
      <alignment vertical="center"/>
    </xf>
    <xf numFmtId="42" fontId="0" fillId="12" borderId="1" xfId="5" applyFont="1" applyFill="1" applyBorder="1" applyAlignment="1">
      <alignment vertical="center"/>
    </xf>
    <xf numFmtId="0" fontId="0" fillId="9" borderId="1" xfId="0" applyFill="1" applyBorder="1" applyAlignment="1">
      <alignment horizontal="left" vertical="top" wrapText="1"/>
    </xf>
    <xf numFmtId="41" fontId="0" fillId="13" borderId="1" xfId="3" applyFont="1" applyFill="1" applyBorder="1" applyAlignment="1">
      <alignment horizontal="center" vertical="center"/>
    </xf>
    <xf numFmtId="1" fontId="0" fillId="13" borderId="1" xfId="0" applyNumberFormat="1" applyFill="1" applyBorder="1" applyAlignment="1">
      <alignment horizontal="center" vertical="center"/>
    </xf>
    <xf numFmtId="1" fontId="0" fillId="13" borderId="1" xfId="1" applyNumberFormat="1" applyFont="1" applyFill="1" applyBorder="1" applyAlignment="1">
      <alignment horizontal="center" vertical="center"/>
    </xf>
    <xf numFmtId="3" fontId="0" fillId="13" borderId="1" xfId="1" applyNumberFormat="1" applyFont="1" applyFill="1" applyBorder="1" applyAlignment="1">
      <alignment horizontal="center" vertical="center"/>
    </xf>
    <xf numFmtId="0" fontId="0" fillId="13" borderId="1" xfId="0" applyFill="1" applyBorder="1" applyAlignment="1">
      <alignment horizontal="right" vertical="center"/>
    </xf>
    <xf numFmtId="9" fontId="0" fillId="13" borderId="1" xfId="0" applyNumberFormat="1" applyFill="1" applyBorder="1" applyAlignment="1">
      <alignment vertical="center"/>
    </xf>
    <xf numFmtId="0" fontId="0" fillId="13" borderId="17" xfId="0" applyFill="1" applyBorder="1" applyAlignment="1">
      <alignment horizontal="left" vertical="center" wrapText="1"/>
    </xf>
    <xf numFmtId="0" fontId="0" fillId="13" borderId="17" xfId="0" applyFill="1" applyBorder="1" applyAlignment="1">
      <alignment vertical="center" wrapText="1"/>
    </xf>
    <xf numFmtId="0" fontId="0" fillId="9" borderId="1" xfId="0" applyFill="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vertical="center"/>
    </xf>
    <xf numFmtId="0" fontId="0" fillId="0" borderId="1" xfId="0" applyBorder="1" applyAlignment="1">
      <alignment vertical="center" wrapText="1"/>
    </xf>
    <xf numFmtId="0" fontId="0" fillId="0" borderId="23" xfId="0" applyBorder="1"/>
    <xf numFmtId="41" fontId="0" fillId="0" borderId="0" xfId="3" applyFont="1" applyBorder="1"/>
    <xf numFmtId="41" fontId="0" fillId="0" borderId="19" xfId="0" applyNumberFormat="1" applyBorder="1"/>
    <xf numFmtId="41" fontId="0" fillId="0" borderId="24" xfId="0" applyNumberFormat="1" applyBorder="1"/>
    <xf numFmtId="41" fontId="0" fillId="0" borderId="25" xfId="0" applyNumberFormat="1" applyBorder="1"/>
    <xf numFmtId="41" fontId="0" fillId="0" borderId="26" xfId="0" applyNumberFormat="1" applyBorder="1"/>
    <xf numFmtId="0" fontId="0" fillId="0" borderId="2" xfId="0" applyBorder="1"/>
    <xf numFmtId="41" fontId="0" fillId="0" borderId="3" xfId="3" applyFont="1" applyBorder="1"/>
    <xf numFmtId="41" fontId="0" fillId="0" borderId="27" xfId="0" applyNumberFormat="1" applyBorder="1"/>
    <xf numFmtId="10" fontId="0" fillId="5" borderId="1" xfId="1" applyNumberFormat="1" applyFont="1" applyFill="1" applyBorder="1" applyAlignment="1">
      <alignment vertical="center"/>
    </xf>
    <xf numFmtId="0" fontId="0" fillId="0" borderId="1" xfId="0" applyBorder="1" applyAlignment="1">
      <alignment horizontal="right" vertical="center"/>
    </xf>
    <xf numFmtId="0" fontId="0" fillId="0" borderId="1" xfId="0" applyBorder="1" applyAlignment="1">
      <alignment horizontal="center"/>
    </xf>
    <xf numFmtId="9" fontId="0" fillId="0" borderId="1" xfId="1" applyFont="1" applyBorder="1" applyAlignment="1">
      <alignment vertical="center"/>
    </xf>
    <xf numFmtId="0" fontId="0" fillId="0" borderId="1" xfId="1" applyNumberFormat="1" applyFont="1" applyBorder="1" applyAlignment="1">
      <alignment vertical="center"/>
    </xf>
    <xf numFmtId="9" fontId="0" fillId="3" borderId="1" xfId="1" applyFont="1" applyFill="1" applyBorder="1" applyAlignment="1">
      <alignment vertical="center"/>
    </xf>
    <xf numFmtId="0" fontId="0" fillId="0" borderId="0" xfId="0" applyFill="1"/>
    <xf numFmtId="41" fontId="0" fillId="0" borderId="0" xfId="0" applyNumberFormat="1" applyFill="1"/>
    <xf numFmtId="3" fontId="12" fillId="0" borderId="0" xfId="0" applyNumberFormat="1" applyFont="1" applyFill="1"/>
    <xf numFmtId="0" fontId="12" fillId="0" borderId="0" xfId="0" applyFont="1" applyFill="1"/>
    <xf numFmtId="41" fontId="12" fillId="0" borderId="0" xfId="0" applyNumberFormat="1" applyFont="1" applyFill="1"/>
    <xf numFmtId="41" fontId="20" fillId="0" borderId="0" xfId="3" applyFont="1" applyFill="1"/>
    <xf numFmtId="0" fontId="0" fillId="21" borderId="0" xfId="0" applyFill="1"/>
    <xf numFmtId="0" fontId="0" fillId="23" borderId="0" xfId="0" applyFill="1"/>
    <xf numFmtId="0" fontId="0" fillId="22" borderId="0" xfId="0" applyFill="1"/>
    <xf numFmtId="0" fontId="0" fillId="24" borderId="0" xfId="0" applyFill="1"/>
    <xf numFmtId="0" fontId="0" fillId="25" borderId="0" xfId="0" applyFill="1"/>
    <xf numFmtId="0" fontId="0" fillId="0" borderId="58" xfId="0" applyBorder="1" applyAlignment="1">
      <alignment vertical="top" wrapText="1"/>
    </xf>
    <xf numFmtId="0" fontId="0" fillId="0" borderId="57" xfId="0" applyBorder="1" applyAlignment="1">
      <alignment vertical="top" wrapText="1"/>
    </xf>
    <xf numFmtId="0" fontId="0" fillId="4" borderId="0" xfId="0" applyFill="1"/>
    <xf numFmtId="0" fontId="0" fillId="0" borderId="0" xfId="0" applyAlignment="1">
      <alignment horizontal="center"/>
    </xf>
    <xf numFmtId="0" fontId="4" fillId="0" borderId="0" xfId="0" applyFont="1" applyAlignment="1">
      <alignment horizontal="center"/>
    </xf>
    <xf numFmtId="0" fontId="0" fillId="0" borderId="10" xfId="0" applyBorder="1" applyAlignment="1">
      <alignment horizontal="center"/>
    </xf>
    <xf numFmtId="0" fontId="6" fillId="0" borderId="0" xfId="0" applyFont="1"/>
    <xf numFmtId="0" fontId="0" fillId="0" borderId="0" xfId="0" applyFont="1"/>
    <xf numFmtId="0" fontId="25" fillId="0" borderId="0" xfId="0" applyFont="1"/>
    <xf numFmtId="0" fontId="1" fillId="26" borderId="13" xfId="0" applyFont="1" applyFill="1" applyBorder="1" applyAlignment="1">
      <alignment horizontal="center" vertical="center" wrapText="1"/>
    </xf>
    <xf numFmtId="0" fontId="1" fillId="26" borderId="30" xfId="0" applyFont="1" applyFill="1" applyBorder="1" applyAlignment="1">
      <alignment horizontal="center" vertical="center" wrapText="1"/>
    </xf>
    <xf numFmtId="0" fontId="1" fillId="26" borderId="31" xfId="0" applyFont="1" applyFill="1" applyBorder="1" applyAlignment="1">
      <alignment horizontal="center" vertical="center" wrapText="1"/>
    </xf>
    <xf numFmtId="0" fontId="1" fillId="26" borderId="32" xfId="0" applyFont="1" applyFill="1" applyBorder="1" applyAlignment="1">
      <alignment horizontal="center" vertical="center" wrapText="1"/>
    </xf>
    <xf numFmtId="0" fontId="1" fillId="27" borderId="30" xfId="0" applyFont="1" applyFill="1" applyBorder="1" applyAlignment="1">
      <alignment horizontal="center" vertical="center" wrapText="1"/>
    </xf>
    <xf numFmtId="0" fontId="27" fillId="0" borderId="0" xfId="13" applyFont="1"/>
    <xf numFmtId="0" fontId="28" fillId="0" borderId="0" xfId="13" applyFont="1"/>
    <xf numFmtId="0" fontId="29" fillId="0" borderId="0" xfId="0" applyFont="1"/>
    <xf numFmtId="9" fontId="18" fillId="0" borderId="0" xfId="0" applyNumberFormat="1" applyFont="1"/>
    <xf numFmtId="0" fontId="18" fillId="0" borderId="0" xfId="0" applyFont="1"/>
    <xf numFmtId="0" fontId="33" fillId="0" borderId="0" xfId="0" applyFont="1"/>
    <xf numFmtId="9" fontId="6" fillId="0" borderId="0" xfId="0" applyNumberFormat="1" applyFont="1"/>
    <xf numFmtId="0" fontId="32" fillId="0" borderId="0" xfId="0" applyFont="1" applyAlignment="1">
      <alignment horizontal="left"/>
    </xf>
    <xf numFmtId="0" fontId="29" fillId="0" borderId="5" xfId="0" applyFont="1" applyFill="1" applyBorder="1" applyAlignment="1">
      <alignment horizontal="right" vertical="center"/>
    </xf>
    <xf numFmtId="0" fontId="29" fillId="0" borderId="28" xfId="0" applyFont="1" applyFill="1" applyBorder="1" applyAlignment="1">
      <alignment horizontal="justify" vertical="center" wrapText="1"/>
    </xf>
    <xf numFmtId="0" fontId="34" fillId="0" borderId="28" xfId="0" applyFont="1" applyFill="1" applyBorder="1" applyAlignment="1">
      <alignment horizontal="right" vertical="center"/>
    </xf>
    <xf numFmtId="0" fontId="29" fillId="0" borderId="28" xfId="0" applyFont="1" applyFill="1" applyBorder="1" applyAlignment="1">
      <alignment horizontal="right" vertical="center"/>
    </xf>
    <xf numFmtId="0" fontId="29" fillId="0" borderId="28" xfId="0" applyFont="1" applyFill="1" applyBorder="1" applyAlignment="1">
      <alignment horizontal="center" vertical="center"/>
    </xf>
    <xf numFmtId="42" fontId="29" fillId="0" borderId="28" xfId="5" applyFont="1" applyFill="1" applyBorder="1" applyAlignment="1">
      <alignment horizontal="right" vertical="center"/>
    </xf>
    <xf numFmtId="9" fontId="29" fillId="0" borderId="28" xfId="1" applyFont="1" applyFill="1" applyBorder="1" applyAlignment="1">
      <alignment horizontal="right" vertical="center"/>
    </xf>
    <xf numFmtId="42" fontId="29" fillId="0" borderId="28" xfId="0" applyNumberFormat="1" applyFont="1" applyFill="1" applyBorder="1" applyAlignment="1">
      <alignment horizontal="right" vertical="center"/>
    </xf>
    <xf numFmtId="0" fontId="29" fillId="0" borderId="28" xfId="0" applyFont="1" applyFill="1" applyBorder="1" applyAlignment="1">
      <alignment horizontal="justify" vertical="center"/>
    </xf>
    <xf numFmtId="0" fontId="29" fillId="0" borderId="28" xfId="0" applyFont="1" applyFill="1" applyBorder="1" applyAlignment="1">
      <alignment vertical="center"/>
    </xf>
    <xf numFmtId="0" fontId="29" fillId="0" borderId="28" xfId="0" applyFont="1" applyFill="1" applyBorder="1"/>
    <xf numFmtId="9" fontId="29" fillId="0" borderId="28" xfId="1" applyNumberFormat="1" applyFont="1" applyFill="1" applyBorder="1" applyAlignment="1">
      <alignment horizontal="right" vertical="center"/>
    </xf>
    <xf numFmtId="9" fontId="29" fillId="23" borderId="28" xfId="1" applyNumberFormat="1" applyFont="1" applyFill="1" applyBorder="1" applyAlignment="1">
      <alignment horizontal="right" vertical="center" wrapText="1"/>
    </xf>
    <xf numFmtId="0" fontId="29" fillId="0" borderId="60" xfId="0" applyFont="1" applyFill="1" applyBorder="1" applyAlignment="1">
      <alignment horizontal="justify" vertical="center" wrapText="1"/>
    </xf>
    <xf numFmtId="169" fontId="29" fillId="0" borderId="1" xfId="0" applyNumberFormat="1" applyFont="1" applyFill="1" applyBorder="1"/>
    <xf numFmtId="0" fontId="29" fillId="0" borderId="1" xfId="0" applyFont="1" applyFill="1" applyBorder="1" applyAlignment="1">
      <alignment horizontal="justify" vertical="center" wrapText="1"/>
    </xf>
    <xf numFmtId="42" fontId="29" fillId="0" borderId="1" xfId="5" applyFont="1" applyFill="1" applyBorder="1"/>
    <xf numFmtId="0" fontId="29" fillId="0" borderId="1" xfId="0" applyFont="1" applyFill="1" applyBorder="1"/>
    <xf numFmtId="0" fontId="29" fillId="0" borderId="7" xfId="0" applyFont="1" applyFill="1" applyBorder="1" applyAlignment="1">
      <alignment horizontal="right" vertical="center"/>
    </xf>
    <xf numFmtId="0" fontId="29" fillId="0" borderId="1" xfId="0" applyFont="1" applyFill="1" applyBorder="1" applyAlignment="1">
      <alignment horizontal="right" vertical="center"/>
    </xf>
    <xf numFmtId="0" fontId="34" fillId="0" borderId="1" xfId="0" applyFont="1" applyFill="1" applyBorder="1" applyAlignment="1">
      <alignment horizontal="center" vertical="center"/>
    </xf>
    <xf numFmtId="9" fontId="34" fillId="9" borderId="1" xfId="0" applyNumberFormat="1" applyFont="1" applyFill="1" applyBorder="1" applyAlignment="1">
      <alignment horizontal="right" vertical="center"/>
    </xf>
    <xf numFmtId="0" fontId="34" fillId="0" borderId="1" xfId="0" applyFont="1" applyFill="1" applyBorder="1" applyAlignment="1">
      <alignment horizontal="justify" vertical="center" wrapText="1"/>
    </xf>
    <xf numFmtId="9" fontId="34" fillId="9" borderId="1" xfId="1" applyFont="1" applyFill="1" applyBorder="1" applyAlignment="1">
      <alignment horizontal="right" vertical="center"/>
    </xf>
    <xf numFmtId="9" fontId="34" fillId="9" borderId="1" xfId="1" applyFont="1" applyFill="1" applyBorder="1" applyAlignment="1">
      <alignment vertical="center"/>
    </xf>
    <xf numFmtId="9" fontId="29" fillId="0" borderId="1" xfId="1" applyNumberFormat="1" applyFont="1" applyFill="1" applyBorder="1" applyAlignment="1">
      <alignment horizontal="right" vertical="center"/>
    </xf>
    <xf numFmtId="9" fontId="29" fillId="4" borderId="1" xfId="1" applyNumberFormat="1" applyFont="1" applyFill="1" applyBorder="1" applyAlignment="1">
      <alignment horizontal="right" vertical="center" wrapText="1"/>
    </xf>
    <xf numFmtId="0" fontId="29" fillId="0" borderId="59" xfId="0" applyFont="1" applyFill="1" applyBorder="1" applyAlignment="1">
      <alignment horizontal="justify" vertical="center" wrapText="1"/>
    </xf>
    <xf numFmtId="9" fontId="29" fillId="22" borderId="1" xfId="1" applyNumberFormat="1" applyFont="1" applyFill="1" applyBorder="1" applyAlignment="1">
      <alignment horizontal="right" vertical="center" wrapText="1"/>
    </xf>
    <xf numFmtId="9" fontId="29" fillId="0" borderId="1" xfId="1" applyFont="1" applyFill="1" applyBorder="1"/>
    <xf numFmtId="0" fontId="29" fillId="0" borderId="1" xfId="0" applyFont="1" applyFill="1" applyBorder="1" applyAlignment="1">
      <alignment horizontal="center" vertical="center"/>
    </xf>
    <xf numFmtId="42" fontId="29" fillId="0" borderId="1" xfId="5" applyFont="1" applyFill="1" applyBorder="1" applyAlignment="1">
      <alignment horizontal="right" vertical="center"/>
    </xf>
    <xf numFmtId="9" fontId="29" fillId="0" borderId="1" xfId="1" applyFont="1" applyFill="1" applyBorder="1" applyAlignment="1">
      <alignment horizontal="right" vertical="center"/>
    </xf>
    <xf numFmtId="9" fontId="29" fillId="0" borderId="1" xfId="1" applyFont="1" applyFill="1" applyBorder="1" applyAlignment="1">
      <alignment horizontal="justify" vertical="center" wrapText="1"/>
    </xf>
    <xf numFmtId="42" fontId="29" fillId="0" borderId="1" xfId="1" applyNumberFormat="1" applyFont="1" applyFill="1" applyBorder="1" applyAlignment="1">
      <alignment horizontal="right" vertical="center"/>
    </xf>
    <xf numFmtId="0" fontId="29" fillId="0" borderId="1" xfId="0" applyFont="1" applyFill="1" applyBorder="1" applyAlignment="1">
      <alignment horizontal="justify" vertical="center"/>
    </xf>
    <xf numFmtId="1" fontId="29" fillId="0" borderId="1" xfId="0" applyNumberFormat="1" applyFont="1" applyFill="1" applyBorder="1" applyAlignment="1">
      <alignment horizontal="right" vertical="center"/>
    </xf>
    <xf numFmtId="9" fontId="29" fillId="0" borderId="1" xfId="0" applyNumberFormat="1" applyFont="1" applyFill="1" applyBorder="1" applyAlignment="1">
      <alignment horizontal="right" vertical="center"/>
    </xf>
    <xf numFmtId="9" fontId="29" fillId="23" borderId="1" xfId="1" applyNumberFormat="1" applyFont="1" applyFill="1" applyBorder="1" applyAlignment="1">
      <alignment horizontal="right" vertical="center" wrapText="1"/>
    </xf>
    <xf numFmtId="1" fontId="29" fillId="0" borderId="1" xfId="1" applyNumberFormat="1" applyFont="1" applyFill="1" applyBorder="1"/>
    <xf numFmtId="9" fontId="29" fillId="0" borderId="1" xfId="0" applyNumberFormat="1" applyFont="1" applyFill="1" applyBorder="1" applyAlignment="1">
      <alignment horizontal="justify" vertical="center" wrapText="1"/>
    </xf>
    <xf numFmtId="10" fontId="29" fillId="0" borderId="1" xfId="1" applyNumberFormat="1" applyFont="1" applyFill="1" applyBorder="1" applyAlignment="1">
      <alignment horizontal="right" vertical="center"/>
    </xf>
    <xf numFmtId="41" fontId="29" fillId="0" borderId="1" xfId="3" applyFont="1" applyFill="1" applyBorder="1" applyAlignment="1">
      <alignment horizontal="right" vertical="center"/>
    </xf>
    <xf numFmtId="0" fontId="34" fillId="0" borderId="1" xfId="0" applyFont="1" applyFill="1" applyBorder="1" applyAlignment="1">
      <alignment horizontal="justify" vertical="center"/>
    </xf>
    <xf numFmtId="9" fontId="29" fillId="25" borderId="1" xfId="1" applyNumberFormat="1" applyFont="1" applyFill="1" applyBorder="1" applyAlignment="1">
      <alignment horizontal="right" vertical="center" wrapText="1"/>
    </xf>
    <xf numFmtId="1" fontId="34" fillId="0" borderId="1" xfId="1" applyNumberFormat="1" applyFont="1" applyFill="1" applyBorder="1" applyAlignment="1">
      <alignment horizontal="right" vertical="center"/>
    </xf>
    <xf numFmtId="9" fontId="29" fillId="0" borderId="1" xfId="3" applyNumberFormat="1" applyFont="1" applyFill="1" applyBorder="1" applyAlignment="1">
      <alignment horizontal="right" vertical="center"/>
    </xf>
    <xf numFmtId="9" fontId="34" fillId="0" borderId="1" xfId="0" applyNumberFormat="1" applyFont="1" applyFill="1" applyBorder="1" applyAlignment="1">
      <alignment horizontal="right" vertical="center"/>
    </xf>
    <xf numFmtId="1" fontId="29" fillId="0" borderId="1" xfId="1" applyNumberFormat="1" applyFont="1" applyFill="1" applyBorder="1" applyAlignment="1">
      <alignment horizontal="right" vertical="center"/>
    </xf>
    <xf numFmtId="9" fontId="29" fillId="24" borderId="1" xfId="1" applyNumberFormat="1" applyFont="1" applyFill="1" applyBorder="1" applyAlignment="1">
      <alignment horizontal="right" vertical="center" wrapText="1"/>
    </xf>
    <xf numFmtId="0" fontId="29" fillId="0" borderId="1" xfId="0" applyNumberFormat="1" applyFont="1" applyFill="1" applyBorder="1" applyAlignment="1">
      <alignment horizontal="right" vertical="center"/>
    </xf>
    <xf numFmtId="41" fontId="34" fillId="0" borderId="1" xfId="3" applyFont="1" applyFill="1" applyBorder="1" applyAlignment="1">
      <alignment horizontal="right" vertical="center"/>
    </xf>
    <xf numFmtId="0" fontId="29" fillId="0" borderId="18" xfId="0" applyFont="1" applyFill="1" applyBorder="1" applyAlignment="1">
      <alignment horizontal="justify" vertical="center" wrapText="1"/>
    </xf>
    <xf numFmtId="0" fontId="29" fillId="0" borderId="18" xfId="0" applyFont="1" applyFill="1" applyBorder="1" applyAlignment="1">
      <alignment horizontal="right" vertical="center"/>
    </xf>
    <xf numFmtId="0" fontId="29" fillId="0" borderId="18" xfId="0" applyFont="1" applyFill="1" applyBorder="1" applyAlignment="1">
      <alignment horizontal="center" vertical="center"/>
    </xf>
    <xf numFmtId="42" fontId="29" fillId="0" borderId="18" xfId="5" applyFont="1" applyFill="1" applyBorder="1" applyAlignment="1">
      <alignment horizontal="right" vertical="center"/>
    </xf>
    <xf numFmtId="9" fontId="29" fillId="0" borderId="18" xfId="1" applyFont="1" applyFill="1" applyBorder="1" applyAlignment="1">
      <alignment horizontal="right" vertical="center"/>
    </xf>
    <xf numFmtId="42" fontId="29" fillId="0" borderId="18" xfId="0" applyNumberFormat="1" applyFont="1" applyFill="1" applyBorder="1" applyAlignment="1">
      <alignment horizontal="right" vertical="center"/>
    </xf>
    <xf numFmtId="0" fontId="29" fillId="0" borderId="18" xfId="0" applyFont="1" applyFill="1" applyBorder="1" applyAlignment="1">
      <alignment horizontal="justify" vertical="center"/>
    </xf>
    <xf numFmtId="0" fontId="29" fillId="0" borderId="18" xfId="0" applyFont="1" applyFill="1" applyBorder="1" applyAlignment="1">
      <alignment vertical="center"/>
    </xf>
    <xf numFmtId="0" fontId="29" fillId="0" borderId="18" xfId="0" applyFont="1" applyFill="1" applyBorder="1"/>
    <xf numFmtId="9" fontId="29" fillId="0" borderId="18" xfId="1" applyNumberFormat="1" applyFont="1" applyFill="1" applyBorder="1" applyAlignment="1">
      <alignment horizontal="right" vertical="center"/>
    </xf>
    <xf numFmtId="9" fontId="29" fillId="23" borderId="18" xfId="1" applyNumberFormat="1" applyFont="1" applyFill="1" applyBorder="1" applyAlignment="1">
      <alignment horizontal="right" vertical="center" wrapText="1"/>
    </xf>
    <xf numFmtId="0" fontId="29" fillId="0" borderId="2" xfId="0" applyFont="1" applyFill="1" applyBorder="1" applyAlignment="1">
      <alignment horizontal="justify" vertical="center" wrapText="1"/>
    </xf>
    <xf numFmtId="9" fontId="29" fillId="21" borderId="1" xfId="1" applyNumberFormat="1" applyFont="1" applyFill="1" applyBorder="1" applyAlignment="1">
      <alignment horizontal="right" vertical="center" wrapText="1"/>
    </xf>
    <xf numFmtId="9" fontId="24" fillId="0" borderId="1" xfId="0" applyNumberFormat="1" applyFont="1" applyFill="1" applyBorder="1" applyAlignment="1">
      <alignment horizontal="right" vertical="center"/>
    </xf>
    <xf numFmtId="0" fontId="34" fillId="0" borderId="1" xfId="0" applyFont="1" applyFill="1" applyBorder="1" applyAlignment="1">
      <alignment horizontal="right" vertical="center"/>
    </xf>
    <xf numFmtId="9" fontId="29" fillId="0" borderId="1" xfId="0" applyNumberFormat="1" applyFont="1" applyFill="1" applyBorder="1" applyAlignment="1">
      <alignment horizontal="right" vertical="center" wrapText="1"/>
    </xf>
    <xf numFmtId="1" fontId="29" fillId="0" borderId="1" xfId="0" applyNumberFormat="1" applyFont="1" applyFill="1" applyBorder="1" applyAlignment="1">
      <alignment horizontal="justify" vertical="center"/>
    </xf>
    <xf numFmtId="9" fontId="29" fillId="0" borderId="1" xfId="1" applyFont="1" applyFill="1" applyBorder="1" applyAlignment="1">
      <alignment vertical="center"/>
    </xf>
    <xf numFmtId="0" fontId="29" fillId="0" borderId="9" xfId="0" applyFont="1" applyFill="1" applyBorder="1" applyAlignment="1">
      <alignment horizontal="right" vertical="center"/>
    </xf>
    <xf numFmtId="0" fontId="29" fillId="0" borderId="29" xfId="0" applyFont="1" applyFill="1" applyBorder="1" applyAlignment="1">
      <alignment horizontal="justify" vertical="center" wrapText="1"/>
    </xf>
    <xf numFmtId="0" fontId="29" fillId="0" borderId="29" xfId="0" applyFont="1" applyFill="1" applyBorder="1" applyAlignment="1">
      <alignment horizontal="right" vertical="center"/>
    </xf>
    <xf numFmtId="0" fontId="29" fillId="0" borderId="29" xfId="0" applyFont="1" applyFill="1" applyBorder="1" applyAlignment="1">
      <alignment horizontal="center" vertical="center"/>
    </xf>
    <xf numFmtId="9" fontId="29" fillId="0" borderId="29" xfId="0" applyNumberFormat="1" applyFont="1" applyFill="1" applyBorder="1" applyAlignment="1">
      <alignment horizontal="right" vertical="center"/>
    </xf>
    <xf numFmtId="42" fontId="29" fillId="0" borderId="29" xfId="5" applyFont="1" applyFill="1" applyBorder="1" applyAlignment="1">
      <alignment horizontal="right" vertical="center"/>
    </xf>
    <xf numFmtId="9" fontId="29" fillId="0" borderId="29" xfId="1" applyFont="1" applyFill="1" applyBorder="1" applyAlignment="1">
      <alignment horizontal="right" vertical="center"/>
    </xf>
    <xf numFmtId="9" fontId="29" fillId="0" borderId="29" xfId="1" applyFont="1" applyFill="1" applyBorder="1" applyAlignment="1">
      <alignment horizontal="justify" vertical="center" wrapText="1"/>
    </xf>
    <xf numFmtId="42" fontId="29" fillId="0" borderId="29" xfId="1" applyNumberFormat="1" applyFont="1" applyFill="1" applyBorder="1" applyAlignment="1">
      <alignment horizontal="right" vertical="center"/>
    </xf>
    <xf numFmtId="0" fontId="29" fillId="0" borderId="29" xfId="0" applyFont="1" applyFill="1" applyBorder="1" applyAlignment="1">
      <alignment horizontal="justify" vertical="center"/>
    </xf>
    <xf numFmtId="0" fontId="29" fillId="0" borderId="29" xfId="0" applyFont="1" applyFill="1" applyBorder="1"/>
    <xf numFmtId="9" fontId="29" fillId="0" borderId="29" xfId="1" applyNumberFormat="1" applyFont="1" applyFill="1" applyBorder="1" applyAlignment="1">
      <alignment horizontal="right" vertical="center"/>
    </xf>
    <xf numFmtId="9" fontId="29" fillId="24" borderId="29" xfId="1" applyNumberFormat="1" applyFont="1" applyFill="1" applyBorder="1" applyAlignment="1">
      <alignment horizontal="right" vertical="center" wrapText="1"/>
    </xf>
    <xf numFmtId="0" fontId="29" fillId="0" borderId="61" xfId="0" applyFont="1" applyFill="1" applyBorder="1" applyAlignment="1">
      <alignment horizontal="justify" vertical="center" wrapText="1"/>
    </xf>
    <xf numFmtId="0" fontId="29" fillId="0" borderId="0" xfId="0" applyFont="1" applyAlignment="1">
      <alignment horizontal="center"/>
    </xf>
    <xf numFmtId="41" fontId="29" fillId="0" borderId="0" xfId="0" applyNumberFormat="1" applyFont="1"/>
    <xf numFmtId="0" fontId="29" fillId="0" borderId="0" xfId="0" applyFont="1" applyFill="1"/>
    <xf numFmtId="0" fontId="31" fillId="0" borderId="1" xfId="0" applyFont="1" applyBorder="1" applyAlignment="1">
      <alignment horizontal="center" vertical="center" wrapText="1"/>
    </xf>
    <xf numFmtId="0" fontId="29" fillId="0" borderId="1" xfId="0" applyFont="1" applyBorder="1"/>
    <xf numFmtId="166" fontId="29" fillId="0" borderId="1" xfId="3" applyNumberFormat="1" applyFont="1" applyBorder="1"/>
    <xf numFmtId="166" fontId="29" fillId="0" borderId="1" xfId="0" applyNumberFormat="1" applyFont="1" applyBorder="1"/>
    <xf numFmtId="170" fontId="29" fillId="0" borderId="1" xfId="0" applyNumberFormat="1" applyFont="1" applyBorder="1"/>
    <xf numFmtId="0" fontId="29" fillId="0" borderId="16" xfId="0" applyFont="1" applyBorder="1" applyAlignment="1">
      <alignment horizontal="center"/>
    </xf>
    <xf numFmtId="0" fontId="29" fillId="0" borderId="8" xfId="0" applyFont="1" applyBorder="1" applyAlignment="1">
      <alignment horizontal="center"/>
    </xf>
    <xf numFmtId="0" fontId="29" fillId="0" borderId="10" xfId="0" applyFont="1" applyBorder="1" applyAlignment="1">
      <alignment horizontal="center"/>
    </xf>
    <xf numFmtId="0" fontId="33" fillId="27" borderId="40" xfId="0" applyFont="1" applyFill="1" applyBorder="1" applyAlignment="1">
      <alignment horizontal="center"/>
    </xf>
    <xf numFmtId="0" fontId="30" fillId="0" borderId="0" xfId="0" applyFont="1"/>
    <xf numFmtId="0" fontId="30" fillId="0" borderId="0" xfId="0" applyFont="1" applyAlignment="1">
      <alignment horizontal="center"/>
    </xf>
    <xf numFmtId="0" fontId="29" fillId="0" borderId="1" xfId="0" applyFont="1" applyBorder="1" applyAlignment="1">
      <alignment horizontal="center" vertical="center"/>
    </xf>
    <xf numFmtId="9" fontId="34" fillId="4" borderId="1" xfId="1" applyFont="1" applyFill="1" applyBorder="1" applyAlignment="1">
      <alignment vertical="center"/>
    </xf>
    <xf numFmtId="0" fontId="29" fillId="4" borderId="1" xfId="0" applyFont="1" applyFill="1" applyBorder="1"/>
    <xf numFmtId="9" fontId="29" fillId="4" borderId="1" xfId="1" applyNumberFormat="1" applyFont="1" applyFill="1" applyBorder="1" applyAlignment="1">
      <alignment horizontal="right" vertical="center"/>
    </xf>
    <xf numFmtId="9" fontId="29" fillId="4" borderId="1" xfId="0" applyNumberFormat="1" applyFont="1" applyFill="1" applyBorder="1" applyAlignment="1">
      <alignment horizontal="right" vertical="center"/>
    </xf>
    <xf numFmtId="0" fontId="29" fillId="4" borderId="1" xfId="0" applyFont="1" applyFill="1" applyBorder="1" applyAlignment="1">
      <alignment horizontal="justify" vertical="center"/>
    </xf>
    <xf numFmtId="42" fontId="29" fillId="4" borderId="1" xfId="5" applyFont="1" applyFill="1" applyBorder="1" applyAlignment="1">
      <alignment horizontal="right" vertical="center"/>
    </xf>
    <xf numFmtId="1" fontId="29" fillId="4" borderId="1" xfId="0" applyNumberFormat="1" applyFont="1" applyFill="1" applyBorder="1" applyAlignment="1">
      <alignment horizontal="right" vertical="center"/>
    </xf>
    <xf numFmtId="42" fontId="29" fillId="4" borderId="1" xfId="0" applyNumberFormat="1" applyFont="1" applyFill="1" applyBorder="1"/>
    <xf numFmtId="9" fontId="34" fillId="4" borderId="1" xfId="0" applyNumberFormat="1" applyFont="1" applyFill="1" applyBorder="1" applyAlignment="1">
      <alignment horizontal="right" vertical="center"/>
    </xf>
    <xf numFmtId="9" fontId="24" fillId="4" borderId="1" xfId="1" applyNumberFormat="1" applyFont="1" applyFill="1" applyBorder="1" applyAlignment="1">
      <alignment horizontal="right" vertical="center"/>
    </xf>
    <xf numFmtId="0" fontId="29" fillId="0" borderId="0" xfId="0" applyFont="1" applyFill="1" applyAlignment="1">
      <alignment horizontal="justify" vertical="center"/>
    </xf>
    <xf numFmtId="3" fontId="41" fillId="26" borderId="49"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2" fillId="0" borderId="56" xfId="0" applyFont="1" applyBorder="1" applyAlignment="1">
      <alignment horizontal="justify" vertical="center" wrapText="1"/>
    </xf>
    <xf numFmtId="9" fontId="43" fillId="19" borderId="16" xfId="1" applyFont="1" applyFill="1" applyBorder="1" applyAlignment="1">
      <alignment horizontal="center" vertical="center"/>
    </xf>
    <xf numFmtId="0" fontId="42" fillId="0" borderId="52" xfId="0" applyFont="1" applyBorder="1" applyAlignment="1">
      <alignment horizontal="justify" vertical="center" wrapText="1"/>
    </xf>
    <xf numFmtId="9" fontId="43" fillId="19" borderId="7" xfId="1" applyFont="1" applyFill="1" applyBorder="1" applyAlignment="1">
      <alignment horizontal="center" vertical="center"/>
    </xf>
    <xf numFmtId="0" fontId="42" fillId="0" borderId="53" xfId="0" applyFont="1" applyBorder="1" applyAlignment="1">
      <alignment horizontal="justify" vertical="center" wrapText="1"/>
    </xf>
    <xf numFmtId="0" fontId="42" fillId="0" borderId="0" xfId="0" applyFont="1"/>
    <xf numFmtId="9" fontId="43" fillId="19" borderId="9" xfId="1" applyFont="1" applyFill="1" applyBorder="1" applyAlignment="1">
      <alignment horizontal="center" vertical="center"/>
    </xf>
    <xf numFmtId="0" fontId="42" fillId="0" borderId="54" xfId="0" applyFont="1" applyBorder="1" applyAlignment="1">
      <alignment horizontal="justify" vertical="center" wrapText="1"/>
    </xf>
    <xf numFmtId="0" fontId="42" fillId="0" borderId="55" xfId="0" applyFont="1" applyBorder="1" applyAlignment="1">
      <alignment horizontal="justify" vertical="center" wrapText="1"/>
    </xf>
    <xf numFmtId="0" fontId="47" fillId="0" borderId="0" xfId="0" applyFont="1"/>
    <xf numFmtId="0" fontId="47" fillId="0" borderId="0" xfId="0" applyFont="1" applyFill="1" applyBorder="1"/>
    <xf numFmtId="0" fontId="47" fillId="0" borderId="0" xfId="0" applyFont="1" applyFill="1"/>
    <xf numFmtId="0" fontId="47" fillId="0" borderId="0" xfId="0" applyFont="1" applyBorder="1"/>
    <xf numFmtId="0" fontId="50" fillId="0" borderId="16" xfId="0" applyFont="1" applyBorder="1" applyAlignment="1">
      <alignment vertical="center"/>
    </xf>
    <xf numFmtId="0" fontId="50" fillId="0" borderId="8" xfId="0" applyFont="1" applyBorder="1" applyAlignment="1">
      <alignment vertical="center"/>
    </xf>
    <xf numFmtId="9" fontId="47" fillId="0" borderId="0" xfId="0" applyNumberFormat="1" applyFont="1"/>
    <xf numFmtId="9" fontId="47" fillId="0" borderId="0" xfId="0" applyNumberFormat="1" applyFont="1" applyFill="1" applyBorder="1"/>
    <xf numFmtId="9" fontId="47" fillId="0" borderId="0" xfId="1" applyFont="1" applyFill="1" applyBorder="1"/>
    <xf numFmtId="10" fontId="47" fillId="0" borderId="0" xfId="0" applyNumberFormat="1" applyFont="1" applyFill="1" applyBorder="1"/>
    <xf numFmtId="0" fontId="52" fillId="0" borderId="0" xfId="0" applyFont="1" applyBorder="1"/>
    <xf numFmtId="0" fontId="53" fillId="0" borderId="0" xfId="0" applyFont="1" applyBorder="1" applyAlignment="1"/>
    <xf numFmtId="0" fontId="50" fillId="0" borderId="10" xfId="0" applyFont="1" applyBorder="1" applyAlignment="1">
      <alignment vertical="center"/>
    </xf>
    <xf numFmtId="0" fontId="54" fillId="0" borderId="0" xfId="0" applyFont="1" applyBorder="1" applyAlignment="1">
      <alignment vertical="center"/>
    </xf>
    <xf numFmtId="0" fontId="47" fillId="0" borderId="0" xfId="0" applyFont="1" applyFill="1" applyBorder="1" applyAlignment="1">
      <alignment horizontal="centerContinuous" vertical="center"/>
    </xf>
    <xf numFmtId="3" fontId="56" fillId="26" borderId="13" xfId="0" applyNumberFormat="1" applyFont="1" applyFill="1" applyBorder="1" applyAlignment="1">
      <alignment horizontal="center" vertical="center" wrapText="1"/>
    </xf>
    <xf numFmtId="3" fontId="56" fillId="26" borderId="24" xfId="0" applyNumberFormat="1" applyFont="1" applyFill="1" applyBorder="1" applyAlignment="1">
      <alignment horizontal="center" vertical="center" wrapText="1"/>
    </xf>
    <xf numFmtId="3" fontId="52" fillId="0" borderId="0" xfId="0" applyNumberFormat="1" applyFont="1" applyFill="1" applyBorder="1" applyAlignment="1">
      <alignment horizontal="center" vertical="center" wrapText="1"/>
    </xf>
    <xf numFmtId="49" fontId="56" fillId="26" borderId="39" xfId="0" applyNumberFormat="1" applyFont="1" applyFill="1" applyBorder="1" applyAlignment="1">
      <alignment horizontal="center" vertical="center" wrapText="1"/>
    </xf>
    <xf numFmtId="49" fontId="56" fillId="26" borderId="46" xfId="0" applyNumberFormat="1" applyFont="1" applyFill="1" applyBorder="1" applyAlignment="1">
      <alignment horizontal="center" vertical="center" wrapText="1"/>
    </xf>
    <xf numFmtId="49" fontId="57" fillId="26" borderId="40" xfId="0" applyNumberFormat="1" applyFont="1" applyFill="1" applyBorder="1" applyAlignment="1">
      <alignment horizontal="center" vertical="center" wrapText="1"/>
    </xf>
    <xf numFmtId="3" fontId="56" fillId="0" borderId="0" xfId="0" applyNumberFormat="1" applyFont="1" applyFill="1" applyBorder="1" applyAlignment="1">
      <alignment horizontal="center" vertical="center" wrapText="1"/>
    </xf>
    <xf numFmtId="49" fontId="56" fillId="18" borderId="0" xfId="0" applyNumberFormat="1" applyFont="1" applyFill="1" applyBorder="1" applyAlignment="1">
      <alignment horizontal="center" vertical="center" wrapText="1"/>
    </xf>
    <xf numFmtId="0" fontId="47" fillId="0" borderId="0" xfId="0" applyFont="1" applyAlignment="1">
      <alignment horizontal="center" vertical="center" wrapText="1"/>
    </xf>
    <xf numFmtId="49" fontId="56" fillId="18" borderId="36" xfId="0" applyNumberFormat="1" applyFont="1" applyFill="1" applyBorder="1" applyAlignment="1">
      <alignment horizontal="center" vertical="center" wrapText="1"/>
    </xf>
    <xf numFmtId="0" fontId="59" fillId="0" borderId="6" xfId="0" applyFont="1" applyFill="1" applyBorder="1" applyAlignment="1">
      <alignment horizontal="justify" vertical="center" wrapText="1"/>
    </xf>
    <xf numFmtId="0" fontId="47" fillId="0" borderId="0" xfId="0" applyFont="1" applyFill="1" applyBorder="1" applyAlignment="1">
      <alignment horizontal="center"/>
    </xf>
    <xf numFmtId="9" fontId="53" fillId="19" borderId="41" xfId="1" applyFont="1" applyFill="1" applyBorder="1" applyAlignment="1">
      <alignment horizontal="right" vertical="center"/>
    </xf>
    <xf numFmtId="9" fontId="61" fillId="19" borderId="18" xfId="1" applyFont="1" applyFill="1" applyBorder="1" applyAlignment="1">
      <alignment horizontal="right" vertical="center"/>
    </xf>
    <xf numFmtId="0" fontId="47" fillId="0" borderId="43" xfId="0" applyFont="1" applyFill="1" applyBorder="1" applyAlignment="1">
      <alignment horizontal="right"/>
    </xf>
    <xf numFmtId="9" fontId="61" fillId="19" borderId="16" xfId="1" applyFont="1" applyFill="1" applyBorder="1" applyAlignment="1">
      <alignment horizontal="right" vertical="center"/>
    </xf>
    <xf numFmtId="0" fontId="62" fillId="0" borderId="44" xfId="0" applyFont="1" applyBorder="1" applyAlignment="1">
      <alignment horizontal="center" vertical="center" wrapText="1"/>
    </xf>
    <xf numFmtId="9" fontId="63" fillId="19" borderId="24" xfId="1" applyFont="1" applyFill="1" applyBorder="1" applyAlignment="1">
      <alignment horizontal="center" vertical="center"/>
    </xf>
    <xf numFmtId="9" fontId="63" fillId="19" borderId="24" xfId="0" applyNumberFormat="1" applyFont="1" applyFill="1" applyBorder="1" applyAlignment="1">
      <alignment horizontal="center" vertical="center"/>
    </xf>
    <xf numFmtId="9" fontId="63" fillId="19" borderId="0" xfId="0" applyNumberFormat="1" applyFont="1" applyFill="1" applyBorder="1" applyAlignment="1">
      <alignment horizontal="center" vertical="center"/>
    </xf>
    <xf numFmtId="0" fontId="62" fillId="0" borderId="24" xfId="0" applyFont="1" applyBorder="1" applyAlignment="1">
      <alignment horizontal="center" vertical="center" wrapText="1"/>
    </xf>
    <xf numFmtId="9" fontId="53" fillId="19" borderId="7" xfId="1" applyFont="1" applyFill="1" applyBorder="1" applyAlignment="1">
      <alignment horizontal="right" vertical="center"/>
    </xf>
    <xf numFmtId="9" fontId="61" fillId="19" borderId="1" xfId="1" applyFont="1" applyFill="1" applyBorder="1" applyAlignment="1">
      <alignment horizontal="right" vertical="center"/>
    </xf>
    <xf numFmtId="9" fontId="61" fillId="19" borderId="8" xfId="1" applyFont="1" applyFill="1" applyBorder="1" applyAlignment="1">
      <alignment horizontal="right" vertical="center"/>
    </xf>
    <xf numFmtId="0" fontId="47" fillId="0" borderId="1" xfId="0" applyFont="1" applyFill="1" applyBorder="1" applyAlignment="1">
      <alignment horizontal="justify" vertical="center" wrapText="1"/>
    </xf>
    <xf numFmtId="0" fontId="59" fillId="0" borderId="8" xfId="0" applyFont="1" applyBorder="1" applyAlignment="1">
      <alignment horizontal="justify" vertical="center" wrapText="1"/>
    </xf>
    <xf numFmtId="0" fontId="47" fillId="0" borderId="1" xfId="0" applyFont="1" applyBorder="1" applyAlignment="1">
      <alignment horizontal="justify" vertical="center" wrapText="1"/>
    </xf>
    <xf numFmtId="0" fontId="65" fillId="0" borderId="0" xfId="0" applyFont="1" applyFill="1" applyBorder="1" applyAlignment="1">
      <alignment horizontal="center"/>
    </xf>
    <xf numFmtId="1" fontId="53" fillId="19" borderId="7" xfId="1" applyNumberFormat="1" applyFont="1" applyFill="1" applyBorder="1" applyAlignment="1">
      <alignment horizontal="right" vertical="center"/>
    </xf>
    <xf numFmtId="0" fontId="47" fillId="0" borderId="0" xfId="0" applyFont="1" applyFill="1" applyBorder="1" applyAlignment="1">
      <alignment horizontal="right"/>
    </xf>
    <xf numFmtId="0" fontId="47" fillId="0" borderId="4" xfId="0" applyFont="1" applyFill="1" applyBorder="1" applyAlignment="1">
      <alignment horizontal="justify" vertical="center" wrapText="1"/>
    </xf>
    <xf numFmtId="0" fontId="47" fillId="0" borderId="4" xfId="0" applyFont="1" applyBorder="1" applyAlignment="1">
      <alignment horizontal="justify" vertical="center" wrapText="1"/>
    </xf>
    <xf numFmtId="0" fontId="59" fillId="0" borderId="12" xfId="0" applyFont="1" applyBorder="1" applyAlignment="1">
      <alignment horizontal="justify" vertical="center" wrapText="1"/>
    </xf>
    <xf numFmtId="9" fontId="53" fillId="19" borderId="11" xfId="1" applyFont="1" applyFill="1" applyBorder="1" applyAlignment="1">
      <alignment horizontal="right" vertical="center"/>
    </xf>
    <xf numFmtId="9" fontId="61" fillId="19" borderId="4" xfId="1" applyFont="1" applyFill="1" applyBorder="1" applyAlignment="1">
      <alignment horizontal="right" vertical="center"/>
    </xf>
    <xf numFmtId="9" fontId="61" fillId="19" borderId="12" xfId="1" applyFont="1" applyFill="1" applyBorder="1" applyAlignment="1">
      <alignment horizontal="right" vertical="center"/>
    </xf>
    <xf numFmtId="0" fontId="58" fillId="0" borderId="0" xfId="0" applyFont="1" applyFill="1" applyBorder="1" applyAlignment="1">
      <alignment horizontal="center"/>
    </xf>
    <xf numFmtId="1" fontId="63" fillId="27" borderId="39" xfId="0" applyNumberFormat="1" applyFont="1" applyFill="1" applyBorder="1" applyAlignment="1">
      <alignment horizontal="right" vertical="center"/>
    </xf>
    <xf numFmtId="9" fontId="39" fillId="19" borderId="46" xfId="1" applyFont="1" applyFill="1" applyBorder="1" applyAlignment="1">
      <alignment horizontal="right" vertical="center"/>
    </xf>
    <xf numFmtId="0" fontId="58" fillId="0" borderId="42" xfId="0" applyFont="1" applyFill="1" applyBorder="1" applyAlignment="1">
      <alignment horizontal="right"/>
    </xf>
    <xf numFmtId="9" fontId="39" fillId="19" borderId="40" xfId="1" applyFont="1" applyFill="1" applyBorder="1" applyAlignment="1">
      <alignment horizontal="right" vertical="center"/>
    </xf>
    <xf numFmtId="0" fontId="62" fillId="0" borderId="44" xfId="0" applyNumberFormat="1" applyFont="1" applyBorder="1" applyAlignment="1">
      <alignment horizontal="center" vertical="center" wrapText="1"/>
    </xf>
    <xf numFmtId="0" fontId="62" fillId="0" borderId="24" xfId="0" applyNumberFormat="1" applyFont="1" applyBorder="1" applyAlignment="1">
      <alignment horizontal="center" vertical="center" wrapText="1"/>
    </xf>
    <xf numFmtId="0" fontId="62" fillId="0" borderId="45" xfId="0" applyNumberFormat="1" applyFont="1" applyBorder="1" applyAlignment="1">
      <alignment horizontal="center" vertical="center" wrapText="1"/>
    </xf>
    <xf numFmtId="0" fontId="62" fillId="0" borderId="25" xfId="0" applyNumberFormat="1" applyFont="1" applyBorder="1" applyAlignment="1">
      <alignment horizontal="center" vertical="center" wrapText="1"/>
    </xf>
    <xf numFmtId="0" fontId="62" fillId="0" borderId="48" xfId="0" applyNumberFormat="1" applyFont="1" applyBorder="1" applyAlignment="1">
      <alignment horizontal="center" vertical="center" wrapText="1"/>
    </xf>
    <xf numFmtId="0" fontId="62" fillId="0" borderId="26" xfId="0" applyNumberFormat="1" applyFont="1" applyBorder="1" applyAlignment="1">
      <alignment horizontal="center" vertical="center" wrapText="1"/>
    </xf>
    <xf numFmtId="9" fontId="63" fillId="19" borderId="25" xfId="0" applyNumberFormat="1" applyFont="1" applyFill="1" applyBorder="1" applyAlignment="1">
      <alignment horizontal="center" vertical="center"/>
    </xf>
    <xf numFmtId="9" fontId="63" fillId="19" borderId="36" xfId="0" applyNumberFormat="1" applyFont="1" applyFill="1" applyBorder="1" applyAlignment="1">
      <alignment horizontal="center" vertical="center"/>
    </xf>
    <xf numFmtId="9" fontId="63" fillId="19" borderId="45" xfId="0" applyNumberFormat="1" applyFont="1" applyFill="1" applyBorder="1" applyAlignment="1">
      <alignment horizontal="center" vertical="center"/>
    </xf>
    <xf numFmtId="0" fontId="59" fillId="0" borderId="8" xfId="0" applyFont="1" applyFill="1" applyBorder="1" applyAlignment="1">
      <alignment horizontal="justify" vertical="center" wrapText="1"/>
    </xf>
    <xf numFmtId="0" fontId="66" fillId="19" borderId="0" xfId="0" applyFont="1" applyFill="1" applyBorder="1" applyAlignment="1">
      <alignment horizontal="center"/>
    </xf>
    <xf numFmtId="168" fontId="63" fillId="27" borderId="39" xfId="1" applyNumberFormat="1" applyFont="1" applyFill="1" applyBorder="1" applyAlignment="1">
      <alignment horizontal="right" vertical="center"/>
    </xf>
    <xf numFmtId="0" fontId="58" fillId="0" borderId="43" xfId="0" applyFont="1" applyFill="1" applyBorder="1" applyAlignment="1">
      <alignment horizontal="right"/>
    </xf>
    <xf numFmtId="0" fontId="47" fillId="0" borderId="18" xfId="0" applyFont="1" applyFill="1" applyBorder="1" applyAlignment="1">
      <alignment horizontal="justify" vertical="center" wrapText="1"/>
    </xf>
    <xf numFmtId="0" fontId="59" fillId="0" borderId="16" xfId="0" applyFont="1" applyFill="1" applyBorder="1" applyAlignment="1">
      <alignment horizontal="justify" vertical="center" wrapText="1"/>
    </xf>
    <xf numFmtId="168" fontId="66" fillId="19" borderId="44" xfId="1" applyNumberFormat="1" applyFont="1" applyFill="1" applyBorder="1" applyAlignment="1">
      <alignment horizontal="center" vertical="center"/>
    </xf>
    <xf numFmtId="9" fontId="66" fillId="19" borderId="0" xfId="1" applyFont="1" applyFill="1" applyBorder="1" applyAlignment="1">
      <alignment horizontal="center" vertical="center"/>
    </xf>
    <xf numFmtId="168" fontId="66" fillId="20" borderId="37" xfId="1" applyNumberFormat="1" applyFont="1" applyFill="1" applyBorder="1" applyAlignment="1">
      <alignment horizontal="center" vertical="center"/>
    </xf>
    <xf numFmtId="9" fontId="66" fillId="20" borderId="44" xfId="1" applyFont="1" applyFill="1" applyBorder="1" applyAlignment="1">
      <alignment horizontal="center" vertical="center"/>
    </xf>
    <xf numFmtId="168" fontId="66" fillId="20" borderId="0" xfId="1" applyNumberFormat="1" applyFont="1" applyFill="1" applyBorder="1" applyAlignment="1">
      <alignment horizontal="center" vertical="center"/>
    </xf>
    <xf numFmtId="168" fontId="66" fillId="19" borderId="0" xfId="1" applyNumberFormat="1" applyFont="1" applyFill="1" applyBorder="1" applyAlignment="1">
      <alignment horizontal="center" vertical="center"/>
    </xf>
    <xf numFmtId="168" fontId="66" fillId="19" borderId="24" xfId="1" applyNumberFormat="1" applyFont="1" applyFill="1" applyBorder="1" applyAlignment="1">
      <alignment horizontal="center" vertical="center"/>
    </xf>
    <xf numFmtId="0" fontId="58" fillId="0" borderId="0" xfId="0" applyFont="1" applyFill="1" applyBorder="1" applyAlignment="1">
      <alignment horizontal="right"/>
    </xf>
    <xf numFmtId="0" fontId="47" fillId="0" borderId="43" xfId="0" applyFont="1" applyFill="1" applyBorder="1" applyAlignment="1"/>
    <xf numFmtId="0" fontId="47" fillId="0" borderId="0" xfId="0" applyFont="1" applyFill="1" applyBorder="1" applyAlignment="1"/>
    <xf numFmtId="168" fontId="66" fillId="0" borderId="44" xfId="1" applyNumberFormat="1" applyFont="1" applyFill="1" applyBorder="1" applyAlignment="1">
      <alignment horizontal="center" vertical="center"/>
    </xf>
    <xf numFmtId="9" fontId="66" fillId="0" borderId="0" xfId="1" applyFont="1" applyFill="1" applyBorder="1" applyAlignment="1">
      <alignment horizontal="center" vertical="center"/>
    </xf>
    <xf numFmtId="168" fontId="66" fillId="0" borderId="37" xfId="1" applyNumberFormat="1" applyFont="1" applyFill="1" applyBorder="1" applyAlignment="1">
      <alignment horizontal="center" vertical="center"/>
    </xf>
    <xf numFmtId="9" fontId="66" fillId="0" borderId="44" xfId="1" applyFont="1" applyFill="1" applyBorder="1" applyAlignment="1">
      <alignment horizontal="center" vertical="center"/>
    </xf>
    <xf numFmtId="168" fontId="66" fillId="0" borderId="0" xfId="1" applyNumberFormat="1" applyFont="1" applyFill="1" applyBorder="1" applyAlignment="1">
      <alignment horizontal="center" vertical="center"/>
    </xf>
    <xf numFmtId="168" fontId="66" fillId="0" borderId="24" xfId="1" applyNumberFormat="1" applyFont="1" applyFill="1" applyBorder="1" applyAlignment="1">
      <alignment horizontal="center" vertical="center"/>
    </xf>
    <xf numFmtId="0" fontId="65" fillId="19" borderId="0" xfId="0" applyFont="1" applyFill="1" applyBorder="1" applyAlignment="1">
      <alignment horizontal="center"/>
    </xf>
    <xf numFmtId="168" fontId="66" fillId="27" borderId="15" xfId="1" applyNumberFormat="1" applyFont="1" applyFill="1" applyBorder="1" applyAlignment="1">
      <alignment horizontal="right" vertical="center"/>
    </xf>
    <xf numFmtId="9" fontId="68" fillId="19" borderId="47" xfId="1" applyFont="1" applyFill="1" applyBorder="1" applyAlignment="1">
      <alignment horizontal="right" vertical="center"/>
    </xf>
    <xf numFmtId="0" fontId="66" fillId="0" borderId="0" xfId="0" applyFont="1" applyFill="1" applyBorder="1" applyAlignment="1">
      <alignment horizontal="right"/>
    </xf>
    <xf numFmtId="168" fontId="66" fillId="27" borderId="39" xfId="1" applyNumberFormat="1" applyFont="1" applyFill="1" applyBorder="1" applyAlignment="1">
      <alignment horizontal="right" vertical="center"/>
    </xf>
    <xf numFmtId="9" fontId="68" fillId="19" borderId="46" xfId="1" applyFont="1" applyFill="1" applyBorder="1" applyAlignment="1">
      <alignment horizontal="right" vertical="center"/>
    </xf>
    <xf numFmtId="9" fontId="68" fillId="19" borderId="40" xfId="1" applyFont="1" applyFill="1" applyBorder="1" applyAlignment="1">
      <alignment horizontal="right" vertical="center"/>
    </xf>
    <xf numFmtId="9" fontId="59" fillId="0" borderId="8" xfId="0" applyNumberFormat="1" applyFont="1" applyFill="1" applyBorder="1" applyAlignment="1">
      <alignment horizontal="justify" vertical="center" wrapText="1"/>
    </xf>
    <xf numFmtId="173" fontId="53" fillId="19" borderId="7" xfId="1" applyNumberFormat="1" applyFont="1" applyFill="1" applyBorder="1" applyAlignment="1">
      <alignment horizontal="right" vertical="center"/>
    </xf>
    <xf numFmtId="0" fontId="62" fillId="0" borderId="45" xfId="0" applyFont="1" applyBorder="1" applyAlignment="1">
      <alignment horizontal="center" vertical="center" wrapText="1"/>
    </xf>
    <xf numFmtId="1" fontId="63" fillId="19" borderId="25" xfId="1" applyNumberFormat="1" applyFont="1" applyFill="1" applyBorder="1" applyAlignment="1">
      <alignment horizontal="center" vertical="center"/>
    </xf>
    <xf numFmtId="1" fontId="63" fillId="19" borderId="36" xfId="1" applyNumberFormat="1" applyFont="1" applyFill="1" applyBorder="1" applyAlignment="1">
      <alignment horizontal="center" vertical="center"/>
    </xf>
    <xf numFmtId="0" fontId="62" fillId="0" borderId="25" xfId="0" applyFont="1" applyBorder="1" applyAlignment="1">
      <alignment horizontal="center" vertical="center" wrapText="1"/>
    </xf>
    <xf numFmtId="9" fontId="53" fillId="19" borderId="7" xfId="1" applyNumberFormat="1" applyFont="1" applyFill="1" applyBorder="1" applyAlignment="1">
      <alignment horizontal="right" vertical="center"/>
    </xf>
    <xf numFmtId="9" fontId="40" fillId="19" borderId="1" xfId="1" applyFont="1" applyFill="1" applyBorder="1" applyAlignment="1">
      <alignment horizontal="right" vertical="center"/>
    </xf>
    <xf numFmtId="1" fontId="53" fillId="19" borderId="11" xfId="1" applyNumberFormat="1" applyFont="1" applyFill="1" applyBorder="1" applyAlignment="1">
      <alignment horizontal="right" vertical="center"/>
    </xf>
    <xf numFmtId="1" fontId="53" fillId="19" borderId="41" xfId="1" applyNumberFormat="1" applyFont="1" applyFill="1" applyBorder="1" applyAlignment="1">
      <alignment horizontal="right" vertical="center"/>
    </xf>
    <xf numFmtId="9" fontId="63" fillId="19" borderId="7" xfId="1" applyFont="1" applyFill="1" applyBorder="1" applyAlignment="1">
      <alignment horizontal="right" vertical="center"/>
    </xf>
    <xf numFmtId="9" fontId="39" fillId="19" borderId="1" xfId="1" applyFont="1" applyFill="1" applyBorder="1" applyAlignment="1">
      <alignment horizontal="right" vertical="center"/>
    </xf>
    <xf numFmtId="9" fontId="39" fillId="19" borderId="8" xfId="1" applyFont="1" applyFill="1" applyBorder="1" applyAlignment="1">
      <alignment horizontal="right" vertical="center"/>
    </xf>
    <xf numFmtId="0" fontId="62" fillId="0" borderId="0" xfId="0" applyNumberFormat="1" applyFont="1" applyBorder="1" applyAlignment="1">
      <alignment horizontal="center" vertical="center" wrapText="1"/>
    </xf>
    <xf numFmtId="0" fontId="53" fillId="19" borderId="7" xfId="1" applyNumberFormat="1" applyFont="1" applyFill="1" applyBorder="1" applyAlignment="1">
      <alignment horizontal="right" vertical="center"/>
    </xf>
    <xf numFmtId="0" fontId="59" fillId="0" borderId="12" xfId="0" applyFont="1" applyFill="1" applyBorder="1" applyAlignment="1">
      <alignment horizontal="justify" vertical="center" wrapText="1"/>
    </xf>
    <xf numFmtId="0" fontId="62" fillId="0" borderId="0" xfId="0" applyNumberFormat="1" applyFont="1" applyFill="1" applyBorder="1" applyAlignment="1">
      <alignment horizontal="center" vertical="center" wrapText="1"/>
    </xf>
    <xf numFmtId="9" fontId="63" fillId="0" borderId="36" xfId="0" applyNumberFormat="1" applyFont="1" applyFill="1" applyBorder="1" applyAlignment="1">
      <alignment horizontal="center" vertical="center"/>
    </xf>
    <xf numFmtId="9" fontId="63" fillId="0" borderId="45" xfId="0" applyNumberFormat="1" applyFont="1" applyFill="1" applyBorder="1" applyAlignment="1">
      <alignment horizontal="center" vertical="center"/>
    </xf>
    <xf numFmtId="9" fontId="63" fillId="0" borderId="0" xfId="0" applyNumberFormat="1" applyFont="1" applyFill="1" applyBorder="1" applyAlignment="1">
      <alignment horizontal="center" vertical="center"/>
    </xf>
    <xf numFmtId="0" fontId="59" fillId="0" borderId="10" xfId="0" applyFont="1" applyFill="1" applyBorder="1" applyAlignment="1">
      <alignment horizontal="justify" vertical="center" wrapText="1"/>
    </xf>
    <xf numFmtId="0" fontId="58" fillId="0" borderId="0" xfId="0" applyFont="1" applyFill="1" applyAlignment="1">
      <alignment horizontal="right"/>
    </xf>
    <xf numFmtId="0" fontId="59" fillId="0" borderId="16" xfId="0" applyFont="1" applyBorder="1" applyAlignment="1">
      <alignment horizontal="justify" vertical="center" wrapText="1"/>
    </xf>
    <xf numFmtId="168" fontId="66" fillId="20" borderId="39" xfId="1" applyNumberFormat="1" applyFont="1" applyFill="1" applyBorder="1" applyAlignment="1">
      <alignment horizontal="center" vertical="center"/>
    </xf>
    <xf numFmtId="9" fontId="66" fillId="20" borderId="40" xfId="1" applyFont="1" applyFill="1" applyBorder="1" applyAlignment="1">
      <alignment horizontal="center" vertical="center"/>
    </xf>
    <xf numFmtId="168" fontId="66" fillId="20" borderId="34" xfId="1" applyNumberFormat="1" applyFont="1" applyFill="1" applyBorder="1" applyAlignment="1">
      <alignment horizontal="center" vertical="center"/>
    </xf>
    <xf numFmtId="0" fontId="47" fillId="0" borderId="18" xfId="0" applyFont="1" applyBorder="1" applyAlignment="1">
      <alignment horizontal="justify" vertical="center" wrapText="1"/>
    </xf>
    <xf numFmtId="0" fontId="62" fillId="0" borderId="48" xfId="0" applyFont="1" applyBorder="1" applyAlignment="1">
      <alignment horizontal="center" vertical="center" wrapText="1"/>
    </xf>
    <xf numFmtId="0" fontId="62" fillId="0" borderId="26" xfId="0" applyFont="1" applyBorder="1" applyAlignment="1">
      <alignment horizontal="center" vertical="center" wrapText="1"/>
    </xf>
    <xf numFmtId="0" fontId="62" fillId="0" borderId="0" xfId="0" applyFont="1" applyBorder="1" applyAlignment="1">
      <alignment horizontal="center" vertical="center" wrapText="1"/>
    </xf>
    <xf numFmtId="9" fontId="63" fillId="19" borderId="38" xfId="0" applyNumberFormat="1" applyFont="1" applyFill="1" applyBorder="1" applyAlignment="1">
      <alignment horizontal="center" vertical="center"/>
    </xf>
    <xf numFmtId="9" fontId="63" fillId="19" borderId="48" xfId="0" applyNumberFormat="1" applyFont="1" applyFill="1" applyBorder="1" applyAlignment="1">
      <alignment horizontal="center" vertical="center"/>
    </xf>
    <xf numFmtId="0" fontId="59" fillId="0" borderId="18"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59" fillId="0" borderId="4" xfId="0" applyFont="1" applyFill="1" applyBorder="1" applyAlignment="1">
      <alignment horizontal="justify" vertical="center" wrapText="1"/>
    </xf>
    <xf numFmtId="0" fontId="47" fillId="0" borderId="4" xfId="0" applyFont="1" applyFill="1" applyBorder="1" applyAlignment="1">
      <alignment horizontal="center" vertical="center" wrapText="1"/>
    </xf>
    <xf numFmtId="9" fontId="68" fillId="19" borderId="63" xfId="1" applyFont="1" applyFill="1" applyBorder="1" applyAlignment="1">
      <alignment horizontal="right" vertical="center"/>
    </xf>
    <xf numFmtId="168" fontId="66" fillId="27" borderId="41" xfId="1" applyNumberFormat="1" applyFont="1" applyFill="1" applyBorder="1" applyAlignment="1">
      <alignment horizontal="right" vertical="center"/>
    </xf>
    <xf numFmtId="9" fontId="68" fillId="19" borderId="18" xfId="1" applyFont="1" applyFill="1" applyBorder="1" applyAlignment="1">
      <alignment horizontal="right" vertical="center"/>
    </xf>
    <xf numFmtId="9" fontId="68" fillId="19" borderId="16" xfId="1" applyFont="1" applyFill="1" applyBorder="1" applyAlignment="1">
      <alignment horizontal="right" vertical="center"/>
    </xf>
    <xf numFmtId="0" fontId="66" fillId="20" borderId="40" xfId="1" applyNumberFormat="1" applyFont="1" applyFill="1" applyBorder="1" applyAlignment="1">
      <alignment horizontal="center" vertical="center"/>
    </xf>
    <xf numFmtId="9" fontId="63" fillId="19" borderId="37" xfId="0" applyNumberFormat="1" applyFont="1" applyFill="1" applyBorder="1" applyAlignment="1">
      <alignment horizontal="center" vertical="center"/>
    </xf>
    <xf numFmtId="0" fontId="70" fillId="0" borderId="0" xfId="0" applyFont="1" applyBorder="1" applyAlignment="1">
      <alignment horizontal="left"/>
    </xf>
    <xf numFmtId="0" fontId="71" fillId="19" borderId="0" xfId="0" applyFont="1" applyFill="1"/>
    <xf numFmtId="0" fontId="45" fillId="19" borderId="0" xfId="0" applyFont="1" applyFill="1"/>
    <xf numFmtId="0" fontId="72" fillId="0" borderId="0" xfId="0" applyFont="1" applyBorder="1" applyAlignment="1">
      <alignment horizontal="left"/>
    </xf>
    <xf numFmtId="9" fontId="61" fillId="19" borderId="64" xfId="1" applyFont="1" applyFill="1" applyBorder="1" applyAlignment="1">
      <alignment horizontal="right" vertical="center"/>
    </xf>
    <xf numFmtId="168" fontId="73" fillId="27" borderId="39" xfId="1" applyNumberFormat="1" applyFont="1" applyFill="1" applyBorder="1" applyAlignment="1">
      <alignment horizontal="right" vertical="center"/>
    </xf>
    <xf numFmtId="9" fontId="74" fillId="19" borderId="46" xfId="1" applyNumberFormat="1" applyFont="1" applyFill="1" applyBorder="1" applyAlignment="1">
      <alignment horizontal="right" vertical="center"/>
    </xf>
    <xf numFmtId="9" fontId="74" fillId="19" borderId="40" xfId="1" applyFont="1" applyFill="1" applyBorder="1" applyAlignment="1">
      <alignment horizontal="right" vertical="center"/>
    </xf>
    <xf numFmtId="9" fontId="39" fillId="19" borderId="40" xfId="1" applyNumberFormat="1" applyFont="1" applyFill="1" applyBorder="1" applyAlignment="1">
      <alignment horizontal="right" vertical="center"/>
    </xf>
    <xf numFmtId="0" fontId="42" fillId="0" borderId="26" xfId="0" applyFont="1" applyBorder="1" applyAlignment="1">
      <alignment horizontal="justify" vertical="center" wrapText="1"/>
    </xf>
    <xf numFmtId="9" fontId="43" fillId="19" borderId="39" xfId="1" applyFont="1" applyFill="1" applyBorder="1" applyAlignment="1">
      <alignment horizontal="center" vertical="center"/>
    </xf>
    <xf numFmtId="10" fontId="61" fillId="19" borderId="16" xfId="1" applyNumberFormat="1" applyFont="1" applyFill="1" applyBorder="1" applyAlignment="1">
      <alignment horizontal="right" vertical="center"/>
    </xf>
    <xf numFmtId="9" fontId="61" fillId="19" borderId="16" xfId="1" applyNumberFormat="1" applyFont="1" applyFill="1" applyBorder="1" applyAlignment="1">
      <alignment horizontal="right" vertical="center"/>
    </xf>
    <xf numFmtId="9" fontId="63" fillId="19" borderId="36" xfId="0" applyNumberFormat="1" applyFont="1" applyFill="1" applyBorder="1" applyAlignment="1">
      <alignment horizontal="center" vertical="center"/>
    </xf>
    <xf numFmtId="0" fontId="47" fillId="0" borderId="18" xfId="0" applyFont="1" applyFill="1" applyBorder="1" applyAlignment="1">
      <alignment horizontal="justify" vertical="center" wrapText="1"/>
    </xf>
    <xf numFmtId="0" fontId="47" fillId="0" borderId="1" xfId="0" applyFont="1" applyFill="1" applyBorder="1" applyAlignment="1">
      <alignment horizontal="justify" vertical="center" wrapText="1"/>
    </xf>
    <xf numFmtId="0" fontId="47" fillId="0" borderId="4" xfId="0" applyFont="1" applyFill="1" applyBorder="1" applyAlignment="1">
      <alignment horizontal="justify" vertical="center" wrapText="1"/>
    </xf>
    <xf numFmtId="9" fontId="63" fillId="19" borderId="38" xfId="0" applyNumberFormat="1" applyFont="1" applyFill="1" applyBorder="1" applyAlignment="1">
      <alignment horizontal="center" vertical="center"/>
    </xf>
    <xf numFmtId="0" fontId="47" fillId="0" borderId="4" xfId="0" applyFont="1" applyFill="1" applyBorder="1" applyAlignment="1">
      <alignment horizontal="justify" vertical="center" wrapText="1"/>
    </xf>
    <xf numFmtId="9" fontId="63" fillId="19" borderId="36" xfId="0" applyNumberFormat="1" applyFont="1" applyFill="1" applyBorder="1" applyAlignment="1">
      <alignment horizontal="center" vertical="center"/>
    </xf>
    <xf numFmtId="9" fontId="61" fillId="19" borderId="16" xfId="1" applyFont="1" applyFill="1" applyBorder="1" applyAlignment="1">
      <alignment horizontal="right" vertical="center"/>
    </xf>
    <xf numFmtId="0" fontId="9" fillId="0" borderId="0" xfId="0" applyFont="1" applyFill="1"/>
    <xf numFmtId="0" fontId="49" fillId="0" borderId="41" xfId="0" applyFont="1" applyBorder="1" applyAlignment="1">
      <alignment horizontal="center" vertical="center"/>
    </xf>
    <xf numFmtId="0" fontId="51" fillId="17" borderId="7" xfId="0" applyFont="1" applyFill="1" applyBorder="1" applyAlignment="1">
      <alignment horizontal="center" vertical="center" wrapText="1" readingOrder="1"/>
    </xf>
    <xf numFmtId="0" fontId="51" fillId="8" borderId="7" xfId="0" applyFont="1" applyFill="1" applyBorder="1" applyAlignment="1">
      <alignment horizontal="center" vertical="center" wrapText="1" readingOrder="1"/>
    </xf>
    <xf numFmtId="0" fontId="51" fillId="9" borderId="7" xfId="0" applyFont="1" applyFill="1" applyBorder="1" applyAlignment="1">
      <alignment horizontal="center" vertical="center" wrapText="1" readingOrder="1"/>
    </xf>
    <xf numFmtId="9" fontId="51" fillId="10" borderId="7" xfId="0" applyNumberFormat="1" applyFont="1" applyFill="1" applyBorder="1" applyAlignment="1">
      <alignment horizontal="center" vertical="center" wrapText="1" readingOrder="1"/>
    </xf>
    <xf numFmtId="0" fontId="51" fillId="16" borderId="9" xfId="0" applyFont="1" applyFill="1" applyBorder="1" applyAlignment="1">
      <alignment horizontal="center" vertical="center" wrapText="1" readingOrder="1"/>
    </xf>
    <xf numFmtId="9" fontId="51" fillId="16" borderId="9" xfId="0" applyNumberFormat="1" applyFont="1" applyFill="1" applyBorder="1" applyAlignment="1">
      <alignment horizontal="center" vertical="center" wrapText="1" readingOrder="1"/>
    </xf>
    <xf numFmtId="9" fontId="43" fillId="19" borderId="5" xfId="1" applyFont="1" applyFill="1" applyBorder="1" applyAlignment="1">
      <alignment horizontal="center" vertical="center"/>
    </xf>
    <xf numFmtId="9" fontId="43" fillId="19" borderId="6" xfId="1" applyFont="1" applyFill="1" applyBorder="1" applyAlignment="1">
      <alignment horizontal="center" vertical="center"/>
    </xf>
    <xf numFmtId="9" fontId="43" fillId="19" borderId="8" xfId="1" applyFont="1" applyFill="1" applyBorder="1" applyAlignment="1">
      <alignment horizontal="center" vertical="center"/>
    </xf>
    <xf numFmtId="9" fontId="43" fillId="19" borderId="10" xfId="1" applyFont="1" applyFill="1" applyBorder="1" applyAlignment="1">
      <alignment horizontal="center" vertical="center"/>
    </xf>
    <xf numFmtId="0" fontId="42" fillId="0" borderId="62" xfId="0" applyFont="1" applyBorder="1"/>
    <xf numFmtId="0" fontId="42" fillId="0" borderId="0" xfId="0" applyFont="1" applyBorder="1" applyAlignment="1">
      <alignment horizontal="justify" vertical="center" wrapText="1"/>
    </xf>
    <xf numFmtId="0" fontId="42" fillId="0" borderId="66" xfId="0" applyFont="1" applyBorder="1" applyAlignment="1">
      <alignment horizontal="justify" vertical="center" wrapText="1"/>
    </xf>
    <xf numFmtId="0" fontId="32" fillId="0" borderId="0" xfId="0" applyFont="1" applyAlignment="1">
      <alignment horizontal="left"/>
    </xf>
    <xf numFmtId="0" fontId="46" fillId="0" borderId="0" xfId="0" applyFont="1" applyAlignment="1">
      <alignment horizontal="center" vertical="center"/>
    </xf>
    <xf numFmtId="0" fontId="7" fillId="3" borderId="29" xfId="0" applyFont="1" applyFill="1" applyBorder="1" applyAlignment="1">
      <alignment vertical="center"/>
    </xf>
    <xf numFmtId="0" fontId="7" fillId="3" borderId="10" xfId="0" applyFont="1" applyFill="1" applyBorder="1" applyAlignment="1">
      <alignment horizontal="center" vertical="center"/>
    </xf>
    <xf numFmtId="0" fontId="75" fillId="0" borderId="0" xfId="0" applyFont="1"/>
    <xf numFmtId="0" fontId="7" fillId="0" borderId="29"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0" xfId="0" applyFont="1" applyFill="1" applyBorder="1" applyAlignment="1">
      <alignment vertical="center" wrapText="1"/>
    </xf>
    <xf numFmtId="0" fontId="76" fillId="0" borderId="29" xfId="0" applyFont="1" applyBorder="1" applyAlignment="1">
      <alignment horizontal="center"/>
    </xf>
    <xf numFmtId="0" fontId="7" fillId="0" borderId="0" xfId="0" applyFont="1" applyFill="1" applyBorder="1" applyAlignment="1">
      <alignment horizontal="center" vertical="center" wrapText="1"/>
    </xf>
    <xf numFmtId="0" fontId="7" fillId="0" borderId="67" xfId="0" applyFont="1" applyBorder="1" applyAlignment="1">
      <alignment horizontal="center" vertical="center" wrapText="1"/>
    </xf>
    <xf numFmtId="0" fontId="7" fillId="0" borderId="43"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29" xfId="0" applyFont="1" applyBorder="1" applyAlignment="1">
      <alignment horizontal="center" vertical="center" wrapText="1"/>
    </xf>
    <xf numFmtId="0" fontId="50" fillId="0" borderId="0" xfId="0" applyFont="1"/>
    <xf numFmtId="0" fontId="7" fillId="0" borderId="1" xfId="0" applyFont="1" applyBorder="1" applyAlignment="1">
      <alignment horizontal="center"/>
    </xf>
    <xf numFmtId="0" fontId="50" fillId="0" borderId="1" xfId="0" applyFont="1" applyBorder="1"/>
    <xf numFmtId="0" fontId="50" fillId="0" borderId="1" xfId="0" applyFont="1" applyBorder="1" applyAlignment="1">
      <alignment horizontal="justify" vertical="center"/>
    </xf>
    <xf numFmtId="14" fontId="50" fillId="0" borderId="1" xfId="0" applyNumberFormat="1" applyFont="1" applyBorder="1" applyAlignment="1">
      <alignment horizontal="justify" vertical="center"/>
    </xf>
    <xf numFmtId="0" fontId="50" fillId="0" borderId="1" xfId="0" applyFont="1" applyBorder="1" applyAlignment="1">
      <alignment horizontal="justify" vertical="center" wrapText="1"/>
    </xf>
    <xf numFmtId="0" fontId="50" fillId="0" borderId="1" xfId="0" applyFont="1" applyBorder="1" applyAlignment="1">
      <alignment horizontal="center" vertical="center"/>
    </xf>
    <xf numFmtId="0" fontId="81" fillId="0" borderId="0" xfId="0" applyFont="1"/>
    <xf numFmtId="0" fontId="82" fillId="26" borderId="13" xfId="0" applyFont="1" applyFill="1" applyBorder="1" applyAlignment="1">
      <alignment horizontal="center" vertical="center" wrapText="1"/>
    </xf>
    <xf numFmtId="0" fontId="82" fillId="26" borderId="30" xfId="0" applyFont="1" applyFill="1" applyBorder="1" applyAlignment="1">
      <alignment horizontal="center" vertical="center" wrapText="1"/>
    </xf>
    <xf numFmtId="0" fontId="82" fillId="26" borderId="31" xfId="0" applyFont="1" applyFill="1" applyBorder="1" applyAlignment="1">
      <alignment horizontal="center" vertical="center" wrapText="1"/>
    </xf>
    <xf numFmtId="0" fontId="82" fillId="26" borderId="32" xfId="0" applyFont="1" applyFill="1" applyBorder="1" applyAlignment="1">
      <alignment horizontal="center" vertical="center" wrapText="1"/>
    </xf>
    <xf numFmtId="0" fontId="82" fillId="27" borderId="30" xfId="0" applyFont="1" applyFill="1" applyBorder="1" applyAlignment="1">
      <alignment horizontal="center" vertical="center" wrapText="1"/>
    </xf>
    <xf numFmtId="0" fontId="82" fillId="8" borderId="30"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xf>
    <xf numFmtId="42" fontId="83" fillId="0" borderId="0" xfId="5" applyFont="1"/>
    <xf numFmtId="42" fontId="6" fillId="0" borderId="0" xfId="5" applyFont="1"/>
    <xf numFmtId="9" fontId="6" fillId="0" borderId="0" xfId="1" applyFont="1" applyFill="1"/>
    <xf numFmtId="42" fontId="83" fillId="0" borderId="0" xfId="5" applyFont="1" applyFill="1"/>
    <xf numFmtId="0" fontId="51" fillId="16" borderId="0" xfId="0" applyFont="1" applyFill="1" applyBorder="1" applyAlignment="1">
      <alignment horizontal="center" vertical="center" wrapText="1" readingOrder="1"/>
    </xf>
    <xf numFmtId="0" fontId="50" fillId="0" borderId="0" xfId="0" applyFont="1" applyBorder="1" applyAlignment="1">
      <alignment vertical="center"/>
    </xf>
    <xf numFmtId="10" fontId="6" fillId="0" borderId="0" xfId="1" applyNumberFormat="1" applyFont="1"/>
    <xf numFmtId="9" fontId="6" fillId="0" borderId="0" xfId="1" applyFont="1"/>
    <xf numFmtId="42" fontId="6" fillId="0" borderId="0" xfId="0" applyNumberFormat="1" applyFont="1" applyFill="1"/>
    <xf numFmtId="42" fontId="6" fillId="0" borderId="0" xfId="5" applyFont="1" applyFill="1"/>
    <xf numFmtId="0" fontId="6" fillId="0" borderId="0" xfId="0" applyFont="1" applyAlignment="1">
      <alignment horizontal="center"/>
    </xf>
    <xf numFmtId="0" fontId="84" fillId="0" borderId="7" xfId="0" applyFont="1" applyFill="1" applyBorder="1" applyAlignment="1">
      <alignment horizontal="right" vertical="center"/>
    </xf>
    <xf numFmtId="0" fontId="84" fillId="0" borderId="1" xfId="0" applyFont="1" applyFill="1" applyBorder="1" applyAlignment="1">
      <alignment horizontal="justify" vertical="center" wrapText="1"/>
    </xf>
    <xf numFmtId="0" fontId="84" fillId="0" borderId="1" xfId="0" applyFont="1" applyFill="1" applyBorder="1" applyAlignment="1">
      <alignment horizontal="right" vertical="center"/>
    </xf>
    <xf numFmtId="0" fontId="84" fillId="0" borderId="1" xfId="0" applyFont="1" applyFill="1" applyBorder="1" applyAlignment="1">
      <alignment horizontal="center" vertical="center"/>
    </xf>
    <xf numFmtId="9" fontId="84" fillId="0" borderId="1" xfId="0" applyNumberFormat="1" applyFont="1" applyFill="1" applyBorder="1" applyAlignment="1">
      <alignment horizontal="right" vertical="center"/>
    </xf>
    <xf numFmtId="42" fontId="84" fillId="0" borderId="1" xfId="5" applyFont="1" applyFill="1" applyBorder="1" applyAlignment="1">
      <alignment horizontal="right" vertical="center"/>
    </xf>
    <xf numFmtId="9" fontId="84" fillId="0" borderId="1" xfId="1" applyFont="1" applyFill="1" applyBorder="1" applyAlignment="1">
      <alignment horizontal="right" vertical="center"/>
    </xf>
    <xf numFmtId="9" fontId="84" fillId="0" borderId="1" xfId="1" applyFont="1" applyFill="1" applyBorder="1" applyAlignment="1">
      <alignment horizontal="justify" vertical="center" wrapText="1"/>
    </xf>
    <xf numFmtId="42" fontId="84" fillId="0" borderId="1" xfId="1" applyNumberFormat="1" applyFont="1" applyFill="1" applyBorder="1" applyAlignment="1">
      <alignment horizontal="right" vertical="center"/>
    </xf>
    <xf numFmtId="0" fontId="84" fillId="0" borderId="1" xfId="0" applyFont="1" applyFill="1" applyBorder="1" applyAlignment="1">
      <alignment horizontal="justify" vertical="center"/>
    </xf>
    <xf numFmtId="9" fontId="84" fillId="0" borderId="1" xfId="1" applyNumberFormat="1" applyFont="1" applyFill="1" applyBorder="1" applyAlignment="1">
      <alignment horizontal="right" vertical="center"/>
    </xf>
    <xf numFmtId="0" fontId="84" fillId="0" borderId="1" xfId="0" applyFont="1" applyFill="1" applyBorder="1"/>
    <xf numFmtId="9" fontId="84" fillId="0" borderId="1" xfId="1" applyFont="1" applyFill="1" applyBorder="1"/>
    <xf numFmtId="9" fontId="84" fillId="0" borderId="1" xfId="0" applyNumberFormat="1" applyFont="1" applyFill="1" applyBorder="1" applyAlignment="1">
      <alignment horizontal="justify" vertical="center" wrapText="1"/>
    </xf>
    <xf numFmtId="42" fontId="84" fillId="0" borderId="1" xfId="5" applyFont="1" applyFill="1" applyBorder="1"/>
    <xf numFmtId="0" fontId="84" fillId="0" borderId="59" xfId="0" applyFont="1" applyFill="1" applyBorder="1" applyAlignment="1">
      <alignment horizontal="justify" vertical="center" wrapText="1"/>
    </xf>
    <xf numFmtId="9" fontId="84" fillId="0" borderId="1" xfId="0" applyNumberFormat="1" applyFont="1" applyFill="1" applyBorder="1" applyAlignment="1">
      <alignment horizontal="justify" vertical="center"/>
    </xf>
    <xf numFmtId="42" fontId="84" fillId="0" borderId="4" xfId="1" applyNumberFormat="1" applyFont="1" applyFill="1" applyBorder="1" applyAlignment="1">
      <alignment vertical="center"/>
    </xf>
    <xf numFmtId="0" fontId="50" fillId="0" borderId="0" xfId="0" applyFont="1" applyFill="1"/>
    <xf numFmtId="0" fontId="0" fillId="0" borderId="0" xfId="0" applyBorder="1" applyAlignment="1">
      <alignment horizontal="center"/>
    </xf>
    <xf numFmtId="0" fontId="76" fillId="0" borderId="29" xfId="0" applyFont="1" applyBorder="1" applyAlignment="1">
      <alignment horizontal="center"/>
    </xf>
    <xf numFmtId="0" fontId="0" fillId="0" borderId="0" xfId="0" applyAlignment="1">
      <alignment horizontal="center"/>
    </xf>
    <xf numFmtId="0" fontId="84" fillId="0" borderId="5" xfId="0" applyFont="1" applyFill="1" applyBorder="1" applyAlignment="1">
      <alignment horizontal="right" vertical="center"/>
    </xf>
    <xf numFmtId="0" fontId="84" fillId="0" borderId="28" xfId="0" applyFont="1" applyFill="1" applyBorder="1" applyAlignment="1">
      <alignment horizontal="justify" vertical="center" wrapText="1"/>
    </xf>
    <xf numFmtId="0" fontId="84" fillId="0" borderId="28" xfId="0" applyFont="1" applyFill="1" applyBorder="1" applyAlignment="1">
      <alignment horizontal="right" vertical="center"/>
    </xf>
    <xf numFmtId="0" fontId="84" fillId="0" borderId="28" xfId="0" applyFont="1" applyFill="1" applyBorder="1" applyAlignment="1">
      <alignment horizontal="center" vertical="center"/>
    </xf>
    <xf numFmtId="42" fontId="84" fillId="0" borderId="28" xfId="5" applyFont="1" applyFill="1" applyBorder="1" applyAlignment="1">
      <alignment horizontal="right" vertical="center"/>
    </xf>
    <xf numFmtId="9" fontId="84" fillId="0" borderId="28" xfId="1" applyFont="1" applyFill="1" applyBorder="1" applyAlignment="1">
      <alignment horizontal="right" vertical="center"/>
    </xf>
    <xf numFmtId="42" fontId="84" fillId="0" borderId="28" xfId="0" applyNumberFormat="1" applyFont="1" applyFill="1" applyBorder="1" applyAlignment="1">
      <alignment horizontal="right" vertical="center"/>
    </xf>
    <xf numFmtId="0" fontId="84" fillId="0" borderId="28" xfId="0" applyFont="1" applyFill="1" applyBorder="1" applyAlignment="1">
      <alignment horizontal="justify" vertical="center"/>
    </xf>
    <xf numFmtId="0" fontId="84" fillId="0" borderId="28" xfId="0" applyFont="1" applyFill="1" applyBorder="1" applyAlignment="1">
      <alignment vertical="center"/>
    </xf>
    <xf numFmtId="9" fontId="84" fillId="0" borderId="28" xfId="1" applyNumberFormat="1" applyFont="1" applyFill="1" applyBorder="1" applyAlignment="1">
      <alignment horizontal="right" vertical="center"/>
    </xf>
    <xf numFmtId="0" fontId="84" fillId="0" borderId="28" xfId="0" applyFont="1" applyFill="1" applyBorder="1"/>
    <xf numFmtId="169" fontId="84" fillId="0" borderId="1" xfId="0" applyNumberFormat="1" applyFont="1" applyFill="1" applyBorder="1"/>
    <xf numFmtId="1" fontId="84" fillId="0" borderId="1" xfId="0" applyNumberFormat="1" applyFont="1" applyFill="1" applyBorder="1" applyAlignment="1">
      <alignment horizontal="right" vertical="center"/>
    </xf>
    <xf numFmtId="1" fontId="84" fillId="0" borderId="1" xfId="1" applyNumberFormat="1" applyFont="1" applyFill="1" applyBorder="1" applyAlignment="1">
      <alignment horizontal="right" vertical="center"/>
    </xf>
    <xf numFmtId="1" fontId="84" fillId="0" borderId="1" xfId="1" applyNumberFormat="1" applyFont="1" applyFill="1" applyBorder="1" applyAlignment="1">
      <alignment vertical="center"/>
    </xf>
    <xf numFmtId="9" fontId="84" fillId="0" borderId="4" xfId="1" applyNumberFormat="1" applyFont="1" applyFill="1" applyBorder="1" applyAlignment="1">
      <alignment horizontal="center" vertical="center"/>
    </xf>
    <xf numFmtId="9" fontId="84" fillId="0" borderId="17" xfId="1" applyNumberFormat="1" applyFont="1" applyFill="1" applyBorder="1" applyAlignment="1">
      <alignment horizontal="center" vertical="center"/>
    </xf>
    <xf numFmtId="9" fontId="84" fillId="0" borderId="18" xfId="1" applyNumberFormat="1" applyFont="1" applyFill="1" applyBorder="1" applyAlignment="1">
      <alignment horizontal="center" vertical="center"/>
    </xf>
    <xf numFmtId="1" fontId="84" fillId="0" borderId="1" xfId="1" applyNumberFormat="1" applyFont="1" applyFill="1" applyBorder="1"/>
    <xf numFmtId="10" fontId="84" fillId="0" borderId="1" xfId="1" applyNumberFormat="1" applyFont="1" applyFill="1" applyBorder="1" applyAlignment="1">
      <alignment horizontal="right" vertical="center"/>
    </xf>
    <xf numFmtId="41" fontId="84" fillId="0" borderId="1" xfId="3" applyFont="1" applyFill="1" applyBorder="1" applyAlignment="1">
      <alignment horizontal="right" vertical="center"/>
    </xf>
    <xf numFmtId="9" fontId="84" fillId="0" borderId="1" xfId="3" applyNumberFormat="1" applyFont="1" applyFill="1" applyBorder="1" applyAlignment="1">
      <alignment horizontal="right" vertical="center"/>
    </xf>
    <xf numFmtId="0" fontId="84" fillId="0" borderId="1" xfId="1" applyNumberFormat="1" applyFont="1" applyFill="1" applyBorder="1" applyAlignment="1">
      <alignment horizontal="right" vertical="center"/>
    </xf>
    <xf numFmtId="0" fontId="84" fillId="0" borderId="1" xfId="0" applyNumberFormat="1" applyFont="1" applyFill="1" applyBorder="1" applyAlignment="1">
      <alignment horizontal="right" vertical="center"/>
    </xf>
    <xf numFmtId="1" fontId="84" fillId="0" borderId="1" xfId="0" applyNumberFormat="1" applyFont="1" applyFill="1" applyBorder="1" applyAlignment="1">
      <alignment horizontal="center" vertical="center" wrapText="1"/>
    </xf>
    <xf numFmtId="42" fontId="84" fillId="0" borderId="1" xfId="0" applyNumberFormat="1" applyFont="1" applyFill="1" applyBorder="1"/>
    <xf numFmtId="0" fontId="84" fillId="0" borderId="18" xfId="0" applyFont="1" applyFill="1" applyBorder="1" applyAlignment="1">
      <alignment horizontal="justify" vertical="center" wrapText="1"/>
    </xf>
    <xf numFmtId="0" fontId="84" fillId="0" borderId="18" xfId="0" applyFont="1" applyFill="1" applyBorder="1" applyAlignment="1">
      <alignment horizontal="right" vertical="center"/>
    </xf>
    <xf numFmtId="0" fontId="84" fillId="0" borderId="18" xfId="0" applyFont="1" applyFill="1" applyBorder="1" applyAlignment="1">
      <alignment horizontal="center" vertical="center"/>
    </xf>
    <xf numFmtId="42" fontId="84" fillId="0" borderId="18" xfId="5" applyFont="1" applyFill="1" applyBorder="1" applyAlignment="1">
      <alignment horizontal="right" vertical="center"/>
    </xf>
    <xf numFmtId="9" fontId="84" fillId="0" borderId="18" xfId="1" applyFont="1" applyFill="1" applyBorder="1" applyAlignment="1">
      <alignment horizontal="right" vertical="center"/>
    </xf>
    <xf numFmtId="42" fontId="84" fillId="0" borderId="18" xfId="0" applyNumberFormat="1" applyFont="1" applyFill="1" applyBorder="1" applyAlignment="1">
      <alignment horizontal="right" vertical="center"/>
    </xf>
    <xf numFmtId="0" fontId="84" fillId="0" borderId="18" xfId="0" applyFont="1" applyFill="1" applyBorder="1" applyAlignment="1">
      <alignment horizontal="justify" vertical="center"/>
    </xf>
    <xf numFmtId="0" fontId="84" fillId="0" borderId="18" xfId="0" applyFont="1" applyFill="1" applyBorder="1" applyAlignment="1">
      <alignment vertical="center"/>
    </xf>
    <xf numFmtId="9" fontId="84" fillId="0" borderId="18" xfId="1" applyNumberFormat="1" applyFont="1" applyFill="1" applyBorder="1" applyAlignment="1">
      <alignment horizontal="right" vertical="center"/>
    </xf>
    <xf numFmtId="0" fontId="84" fillId="0" borderId="18" xfId="0" applyFont="1" applyFill="1" applyBorder="1"/>
    <xf numFmtId="42" fontId="84" fillId="0" borderId="1" xfId="5" applyFont="1" applyFill="1" applyBorder="1" applyAlignment="1">
      <alignment horizontal="center" vertical="center"/>
    </xf>
    <xf numFmtId="9" fontId="84" fillId="0" borderId="1" xfId="0" applyNumberFormat="1" applyFont="1" applyFill="1" applyBorder="1" applyAlignment="1">
      <alignment horizontal="center" vertical="center"/>
    </xf>
    <xf numFmtId="10" fontId="84" fillId="0" borderId="1" xfId="0" applyNumberFormat="1" applyFont="1" applyFill="1" applyBorder="1" applyAlignment="1">
      <alignment horizontal="right" vertical="center"/>
    </xf>
    <xf numFmtId="9" fontId="84" fillId="0" borderId="1" xfId="0" applyNumberFormat="1" applyFont="1" applyFill="1" applyBorder="1" applyAlignment="1">
      <alignment horizontal="right" vertical="center" wrapText="1"/>
    </xf>
    <xf numFmtId="1" fontId="84" fillId="0" borderId="1" xfId="0" applyNumberFormat="1" applyFont="1" applyFill="1" applyBorder="1" applyAlignment="1">
      <alignment horizontal="justify" vertical="center"/>
    </xf>
    <xf numFmtId="42" fontId="84" fillId="0" borderId="1" xfId="5" applyFont="1" applyFill="1" applyBorder="1" applyAlignment="1">
      <alignment vertical="center"/>
    </xf>
    <xf numFmtId="9" fontId="84" fillId="0" borderId="1" xfId="1" applyFont="1" applyFill="1" applyBorder="1" applyAlignment="1">
      <alignment vertical="center"/>
    </xf>
    <xf numFmtId="9" fontId="84" fillId="0" borderId="4" xfId="0" applyNumberFormat="1" applyFont="1" applyFill="1" applyBorder="1" applyAlignment="1">
      <alignment horizontal="center" vertical="center"/>
    </xf>
    <xf numFmtId="9" fontId="84" fillId="0" borderId="17" xfId="0" applyNumberFormat="1" applyFont="1" applyFill="1" applyBorder="1" applyAlignment="1">
      <alignment horizontal="center" vertical="center"/>
    </xf>
    <xf numFmtId="9" fontId="84" fillId="0" borderId="1" xfId="1" applyNumberFormat="1" applyFont="1" applyFill="1" applyBorder="1" applyAlignment="1">
      <alignment horizontal="right" vertical="center" wrapText="1"/>
    </xf>
    <xf numFmtId="9" fontId="84" fillId="0" borderId="4" xfId="1" applyNumberFormat="1" applyFont="1" applyFill="1" applyBorder="1" applyAlignment="1">
      <alignment vertical="center"/>
    </xf>
    <xf numFmtId="9" fontId="84" fillId="0" borderId="4" xfId="0" applyNumberFormat="1" applyFont="1" applyFill="1" applyBorder="1" applyAlignment="1">
      <alignment vertical="center"/>
    </xf>
    <xf numFmtId="9" fontId="84" fillId="0" borderId="18" xfId="0" applyNumberFormat="1" applyFont="1" applyFill="1" applyBorder="1" applyAlignment="1">
      <alignment horizontal="center" vertical="center"/>
    </xf>
    <xf numFmtId="42" fontId="84" fillId="0" borderId="4" xfId="5" applyFont="1" applyFill="1" applyBorder="1" applyAlignment="1">
      <alignment vertical="center"/>
    </xf>
    <xf numFmtId="42" fontId="84" fillId="0" borderId="18" xfId="5" applyFont="1" applyFill="1" applyBorder="1" applyAlignment="1">
      <alignment vertical="center"/>
    </xf>
    <xf numFmtId="42" fontId="84" fillId="0" borderId="18" xfId="1" applyNumberFormat="1" applyFont="1" applyFill="1" applyBorder="1" applyAlignment="1">
      <alignment vertical="center"/>
    </xf>
    <xf numFmtId="0" fontId="84" fillId="0" borderId="11" xfId="0" applyFont="1" applyFill="1" applyBorder="1" applyAlignment="1">
      <alignment horizontal="right" vertical="center"/>
    </xf>
    <xf numFmtId="0" fontId="84" fillId="0" borderId="4" xfId="0" applyFont="1" applyFill="1" applyBorder="1" applyAlignment="1">
      <alignment horizontal="justify" vertical="center" wrapText="1"/>
    </xf>
    <xf numFmtId="0" fontId="84" fillId="0" borderId="4" xfId="0" applyFont="1" applyFill="1" applyBorder="1" applyAlignment="1">
      <alignment horizontal="right" vertical="center"/>
    </xf>
    <xf numFmtId="0" fontId="84" fillId="0" borderId="4" xfId="0" applyFont="1" applyFill="1" applyBorder="1" applyAlignment="1">
      <alignment horizontal="center" vertical="center"/>
    </xf>
    <xf numFmtId="9" fontId="84" fillId="0" borderId="4" xfId="0" applyNumberFormat="1" applyFont="1" applyFill="1" applyBorder="1" applyAlignment="1">
      <alignment horizontal="right" vertical="center"/>
    </xf>
    <xf numFmtId="42" fontId="84" fillId="0" borderId="4" xfId="5" applyFont="1" applyFill="1" applyBorder="1" applyAlignment="1">
      <alignment horizontal="right" vertical="center"/>
    </xf>
    <xf numFmtId="9" fontId="84" fillId="0" borderId="4" xfId="1" applyFont="1" applyFill="1" applyBorder="1" applyAlignment="1">
      <alignment horizontal="right" vertical="center"/>
    </xf>
    <xf numFmtId="9" fontId="84" fillId="0" borderId="4" xfId="1" applyFont="1" applyFill="1" applyBorder="1" applyAlignment="1">
      <alignment horizontal="justify" vertical="center" wrapText="1"/>
    </xf>
    <xf numFmtId="42" fontId="84" fillId="0" borderId="4" xfId="1" applyNumberFormat="1" applyFont="1" applyFill="1" applyBorder="1" applyAlignment="1">
      <alignment horizontal="right" vertical="center"/>
    </xf>
    <xf numFmtId="0" fontId="84" fillId="0" borderId="4" xfId="0" applyFont="1" applyFill="1" applyBorder="1" applyAlignment="1">
      <alignment horizontal="justify" vertical="center"/>
    </xf>
    <xf numFmtId="9" fontId="84" fillId="0" borderId="4" xfId="1" applyNumberFormat="1" applyFont="1" applyFill="1" applyBorder="1" applyAlignment="1">
      <alignment horizontal="right" vertical="center"/>
    </xf>
    <xf numFmtId="0" fontId="84" fillId="0" borderId="20" xfId="0" applyFont="1" applyFill="1" applyBorder="1" applyAlignment="1">
      <alignment horizontal="justify" vertical="center" wrapText="1"/>
    </xf>
    <xf numFmtId="0" fontId="84" fillId="0" borderId="4" xfId="0" applyFont="1" applyFill="1" applyBorder="1"/>
    <xf numFmtId="9" fontId="84" fillId="0" borderId="4" xfId="1" applyFont="1" applyFill="1" applyBorder="1"/>
    <xf numFmtId="9" fontId="84" fillId="0" borderId="4" xfId="0" applyNumberFormat="1" applyFont="1" applyFill="1" applyBorder="1" applyAlignment="1">
      <alignment horizontal="justify" vertical="center" wrapText="1"/>
    </xf>
    <xf numFmtId="42" fontId="84" fillId="0" borderId="4" xfId="5" applyFont="1" applyFill="1" applyBorder="1"/>
    <xf numFmtId="9" fontId="84" fillId="0" borderId="1" xfId="0" applyNumberFormat="1" applyFont="1" applyFill="1" applyBorder="1"/>
    <xf numFmtId="42" fontId="84" fillId="0" borderId="28" xfId="5" applyFont="1" applyFill="1" applyBorder="1" applyAlignment="1">
      <alignment horizontal="justify" vertical="center"/>
    </xf>
    <xf numFmtId="9" fontId="84" fillId="0" borderId="28" xfId="1" applyNumberFormat="1" applyFont="1" applyFill="1" applyBorder="1" applyAlignment="1">
      <alignment horizontal="right" vertical="center" wrapText="1"/>
    </xf>
    <xf numFmtId="10" fontId="84" fillId="0" borderId="1" xfId="0" applyNumberFormat="1" applyFont="1" applyFill="1" applyBorder="1"/>
    <xf numFmtId="3" fontId="84" fillId="0" borderId="1" xfId="0" applyNumberFormat="1" applyFont="1" applyFill="1" applyBorder="1"/>
    <xf numFmtId="1" fontId="84" fillId="0" borderId="1" xfId="0" applyNumberFormat="1" applyFont="1" applyFill="1" applyBorder="1" applyAlignment="1">
      <alignment horizontal="center" vertical="center"/>
    </xf>
    <xf numFmtId="172" fontId="84" fillId="0" borderId="1" xfId="0" applyNumberFormat="1" applyFont="1" applyFill="1" applyBorder="1" applyAlignment="1">
      <alignment horizontal="center" vertical="center"/>
    </xf>
    <xf numFmtId="172" fontId="84" fillId="0" borderId="1" xfId="0" applyNumberFormat="1" applyFont="1" applyFill="1" applyBorder="1" applyAlignment="1">
      <alignment vertical="center"/>
    </xf>
    <xf numFmtId="42" fontId="84" fillId="0" borderId="1" xfId="5" applyFont="1" applyFill="1" applyBorder="1" applyAlignment="1">
      <alignment horizontal="right" vertical="center" wrapText="1"/>
    </xf>
    <xf numFmtId="10" fontId="84" fillId="0" borderId="1" xfId="0" applyNumberFormat="1" applyFont="1" applyFill="1" applyBorder="1" applyAlignment="1">
      <alignment horizontal="center" vertical="center" wrapText="1"/>
    </xf>
    <xf numFmtId="10" fontId="84" fillId="0" borderId="1" xfId="1" applyNumberFormat="1" applyFont="1" applyFill="1" applyBorder="1" applyAlignment="1">
      <alignment horizontal="center" vertical="center" wrapText="1"/>
    </xf>
    <xf numFmtId="42" fontId="84" fillId="0" borderId="18" xfId="5" applyFont="1" applyFill="1" applyBorder="1" applyAlignment="1">
      <alignment horizontal="center" vertical="center"/>
    </xf>
    <xf numFmtId="10" fontId="84" fillId="0" borderId="1" xfId="0" applyNumberFormat="1" applyFont="1" applyFill="1" applyBorder="1" applyAlignment="1">
      <alignment horizontal="center" vertical="center"/>
    </xf>
    <xf numFmtId="9" fontId="84" fillId="0" borderId="1" xfId="0" applyNumberFormat="1" applyFont="1" applyFill="1" applyBorder="1" applyAlignment="1">
      <alignment vertical="center"/>
    </xf>
    <xf numFmtId="10" fontId="84" fillId="0" borderId="1" xfId="0" applyNumberFormat="1" applyFont="1" applyFill="1" applyBorder="1" applyAlignment="1">
      <alignment vertical="center"/>
    </xf>
    <xf numFmtId="9" fontId="84" fillId="0" borderId="1" xfId="1" applyFont="1" applyFill="1" applyBorder="1" applyAlignment="1">
      <alignment horizontal="center" vertical="center"/>
    </xf>
    <xf numFmtId="10" fontId="84" fillId="0" borderId="1" xfId="1" applyNumberFormat="1" applyFont="1" applyFill="1" applyBorder="1"/>
    <xf numFmtId="41" fontId="84" fillId="0" borderId="1" xfId="3" applyFont="1" applyFill="1" applyBorder="1"/>
    <xf numFmtId="0" fontId="84" fillId="0" borderId="59" xfId="0" applyFont="1" applyFill="1" applyBorder="1" applyAlignment="1">
      <alignment horizontal="justify" vertical="top" wrapText="1"/>
    </xf>
    <xf numFmtId="171" fontId="84" fillId="0" borderId="1" xfId="0" applyNumberFormat="1" applyFont="1" applyFill="1" applyBorder="1" applyAlignment="1">
      <alignment horizontal="center" vertical="center"/>
    </xf>
    <xf numFmtId="0" fontId="84" fillId="0" borderId="1" xfId="0" applyFont="1" applyFill="1" applyBorder="1" applyAlignment="1">
      <alignment vertical="center"/>
    </xf>
    <xf numFmtId="9" fontId="84" fillId="0" borderId="1" xfId="1" applyFont="1" applyFill="1" applyBorder="1" applyAlignment="1">
      <alignment horizontal="right" vertical="center" wrapText="1"/>
    </xf>
    <xf numFmtId="9" fontId="84" fillId="0" borderId="4" xfId="1" applyNumberFormat="1" applyFont="1" applyFill="1" applyBorder="1" applyAlignment="1">
      <alignment horizontal="right" vertical="center" wrapText="1"/>
    </xf>
    <xf numFmtId="0" fontId="4" fillId="0" borderId="0" xfId="0" applyFont="1" applyAlignment="1">
      <alignment horizontal="left"/>
    </xf>
    <xf numFmtId="0" fontId="1"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 xfId="0" applyFont="1" applyFill="1" applyBorder="1" applyAlignment="1">
      <alignment horizontal="center" vertical="center"/>
    </xf>
    <xf numFmtId="41" fontId="0" fillId="13" borderId="4" xfId="3" applyFont="1" applyFill="1" applyBorder="1" applyAlignment="1">
      <alignment horizontal="center" vertical="center"/>
    </xf>
    <xf numFmtId="41" fontId="0" fillId="13" borderId="17" xfId="3" applyFont="1" applyFill="1" applyBorder="1" applyAlignment="1">
      <alignment horizontal="center" vertical="center"/>
    </xf>
    <xf numFmtId="41" fontId="0" fillId="13" borderId="18" xfId="3" applyFont="1" applyFill="1" applyBorder="1" applyAlignment="1">
      <alignment horizontal="center" vertical="center"/>
    </xf>
    <xf numFmtId="9" fontId="0" fillId="13" borderId="4" xfId="1" applyFont="1" applyFill="1" applyBorder="1" applyAlignment="1">
      <alignment horizontal="center" vertical="center"/>
    </xf>
    <xf numFmtId="9" fontId="0" fillId="13" borderId="17" xfId="1" applyFont="1" applyFill="1" applyBorder="1" applyAlignment="1">
      <alignment horizontal="center" vertical="center"/>
    </xf>
    <xf numFmtId="9" fontId="0" fillId="13" borderId="18" xfId="1" applyFont="1" applyFill="1" applyBorder="1" applyAlignment="1">
      <alignment horizontal="center" vertical="center"/>
    </xf>
    <xf numFmtId="0" fontId="0" fillId="13" borderId="4" xfId="0" applyFill="1" applyBorder="1" applyAlignment="1">
      <alignment horizontal="center"/>
    </xf>
    <xf numFmtId="0" fontId="0" fillId="13" borderId="17" xfId="0" applyFill="1" applyBorder="1" applyAlignment="1">
      <alignment horizontal="center"/>
    </xf>
    <xf numFmtId="0" fontId="0" fillId="13" borderId="18" xfId="0" applyFill="1" applyBorder="1" applyAlignment="1">
      <alignment horizontal="center"/>
    </xf>
    <xf numFmtId="0" fontId="0" fillId="13" borderId="4"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18" xfId="0" applyFill="1" applyBorder="1" applyAlignment="1">
      <alignment horizontal="center" vertical="center" wrapText="1"/>
    </xf>
    <xf numFmtId="0" fontId="5" fillId="3" borderId="1" xfId="2"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left" vertical="center"/>
    </xf>
    <xf numFmtId="9" fontId="17" fillId="10" borderId="1" xfId="0" applyNumberFormat="1" applyFont="1" applyFill="1" applyBorder="1" applyAlignment="1">
      <alignment horizontal="center" vertical="center" wrapText="1" readingOrder="1"/>
    </xf>
    <xf numFmtId="0" fontId="17" fillId="16" borderId="1" xfId="0" applyFont="1" applyFill="1" applyBorder="1" applyAlignment="1">
      <alignment horizontal="center" vertical="center" wrapText="1" readingOrder="1"/>
    </xf>
    <xf numFmtId="0" fontId="14" fillId="0" borderId="1" xfId="0" applyFont="1" applyBorder="1" applyAlignment="1">
      <alignment vertical="center"/>
    </xf>
    <xf numFmtId="0" fontId="15" fillId="6" borderId="1" xfId="0" applyFont="1" applyFill="1" applyBorder="1" applyAlignment="1">
      <alignment horizontal="center" vertical="center"/>
    </xf>
    <xf numFmtId="0" fontId="16" fillId="0" borderId="1" xfId="0" applyFont="1" applyBorder="1" applyAlignment="1">
      <alignment horizontal="left" vertical="center"/>
    </xf>
    <xf numFmtId="0" fontId="17" fillId="17" borderId="1" xfId="0" applyFont="1" applyFill="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84" fillId="0" borderId="11" xfId="0" applyFont="1" applyFill="1" applyBorder="1" applyAlignment="1">
      <alignment horizontal="center" vertical="center"/>
    </xf>
    <xf numFmtId="0" fontId="84" fillId="0" borderId="41" xfId="0" applyFont="1" applyFill="1" applyBorder="1" applyAlignment="1">
      <alignment horizontal="center" vertical="center"/>
    </xf>
    <xf numFmtId="0" fontId="84" fillId="0" borderId="4" xfId="0" applyFont="1" applyFill="1" applyBorder="1" applyAlignment="1">
      <alignment horizontal="center" vertical="center" wrapText="1"/>
    </xf>
    <xf numFmtId="0" fontId="84" fillId="0" borderId="18" xfId="0" applyFont="1" applyFill="1" applyBorder="1" applyAlignment="1">
      <alignment horizontal="center" vertical="center" wrapText="1"/>
    </xf>
    <xf numFmtId="0" fontId="84" fillId="0" borderId="4" xfId="0" applyFont="1" applyFill="1" applyBorder="1" applyAlignment="1">
      <alignment horizontal="center" vertical="center"/>
    </xf>
    <xf numFmtId="0" fontId="84" fillId="0" borderId="18" xfId="0" applyFont="1" applyFill="1" applyBorder="1" applyAlignment="1">
      <alignment horizontal="center" vertical="center"/>
    </xf>
    <xf numFmtId="0" fontId="84" fillId="0" borderId="4" xfId="0" applyFont="1" applyFill="1" applyBorder="1" applyAlignment="1">
      <alignment horizontal="justify" vertical="center" wrapText="1"/>
    </xf>
    <xf numFmtId="0" fontId="84" fillId="0" borderId="18" xfId="0" applyFont="1" applyFill="1" applyBorder="1" applyAlignment="1">
      <alignment horizontal="justify" vertical="center" wrapText="1"/>
    </xf>
    <xf numFmtId="9" fontId="84" fillId="0" borderId="4" xfId="0" applyNumberFormat="1" applyFont="1" applyFill="1" applyBorder="1" applyAlignment="1">
      <alignment horizontal="center" vertical="center"/>
    </xf>
    <xf numFmtId="9" fontId="84" fillId="0" borderId="18" xfId="0" applyNumberFormat="1" applyFont="1" applyFill="1" applyBorder="1" applyAlignment="1">
      <alignment horizontal="center" vertical="center"/>
    </xf>
    <xf numFmtId="9" fontId="84" fillId="0" borderId="1" xfId="0" applyNumberFormat="1" applyFont="1" applyFill="1" applyBorder="1" applyAlignment="1">
      <alignment horizontal="justify" vertical="center" wrapText="1"/>
    </xf>
    <xf numFmtId="9" fontId="84" fillId="0" borderId="4" xfId="1" applyNumberFormat="1" applyFont="1" applyFill="1" applyBorder="1" applyAlignment="1">
      <alignment horizontal="center" vertical="center" wrapText="1"/>
    </xf>
    <xf numFmtId="9" fontId="84" fillId="0" borderId="17" xfId="1" applyNumberFormat="1" applyFont="1" applyFill="1" applyBorder="1" applyAlignment="1">
      <alignment horizontal="center" vertical="center" wrapText="1"/>
    </xf>
    <xf numFmtId="9" fontId="84" fillId="0" borderId="18" xfId="1" applyNumberFormat="1" applyFont="1" applyFill="1" applyBorder="1" applyAlignment="1">
      <alignment horizontal="center" vertical="center" wrapText="1"/>
    </xf>
    <xf numFmtId="42" fontId="84" fillId="0" borderId="4" xfId="5" applyFont="1" applyFill="1" applyBorder="1" applyAlignment="1">
      <alignment horizontal="center" vertical="center"/>
    </xf>
    <xf numFmtId="42" fontId="84" fillId="0" borderId="18" xfId="5" applyFont="1" applyFill="1" applyBorder="1" applyAlignment="1">
      <alignment horizontal="center" vertical="center"/>
    </xf>
    <xf numFmtId="42" fontId="84" fillId="0" borderId="4" xfId="5" applyFont="1" applyFill="1" applyBorder="1" applyAlignment="1">
      <alignment horizontal="center"/>
    </xf>
    <xf numFmtId="42" fontId="84" fillId="0" borderId="18" xfId="5" applyFont="1" applyFill="1" applyBorder="1" applyAlignment="1">
      <alignment horizontal="center"/>
    </xf>
    <xf numFmtId="0" fontId="84" fillId="0" borderId="4" xfId="0" applyFont="1" applyFill="1" applyBorder="1" applyAlignment="1">
      <alignment horizontal="justify" vertical="center"/>
    </xf>
    <xf numFmtId="0" fontId="84" fillId="0" borderId="18" xfId="0" applyFont="1" applyFill="1" applyBorder="1" applyAlignment="1">
      <alignment horizontal="justify" vertical="center"/>
    </xf>
    <xf numFmtId="0" fontId="84" fillId="0" borderId="4" xfId="0" applyFont="1" applyFill="1" applyBorder="1" applyAlignment="1">
      <alignment horizontal="center"/>
    </xf>
    <xf numFmtId="0" fontId="84" fillId="0" borderId="18" xfId="0" applyFont="1" applyFill="1" applyBorder="1" applyAlignment="1">
      <alignment horizontal="center"/>
    </xf>
    <xf numFmtId="0" fontId="84" fillId="0" borderId="17" xfId="0" applyFont="1" applyFill="1" applyBorder="1" applyAlignment="1">
      <alignment horizontal="center"/>
    </xf>
    <xf numFmtId="9" fontId="84" fillId="0" borderId="4" xfId="1" applyNumberFormat="1" applyFont="1" applyFill="1" applyBorder="1" applyAlignment="1">
      <alignment horizontal="center" vertical="center"/>
    </xf>
    <xf numFmtId="9" fontId="84" fillId="0" borderId="17" xfId="1" applyNumberFormat="1" applyFont="1" applyFill="1" applyBorder="1" applyAlignment="1">
      <alignment horizontal="center" vertical="center"/>
    </xf>
    <xf numFmtId="9" fontId="84" fillId="0" borderId="18" xfId="1" applyNumberFormat="1" applyFont="1" applyFill="1" applyBorder="1" applyAlignment="1">
      <alignment horizontal="center" vertical="center"/>
    </xf>
    <xf numFmtId="42" fontId="84" fillId="0" borderId="17" xfId="5" applyFont="1" applyFill="1" applyBorder="1" applyAlignment="1">
      <alignment horizontal="center" vertical="center"/>
    </xf>
    <xf numFmtId="0" fontId="84" fillId="0" borderId="17" xfId="0" applyFont="1" applyFill="1" applyBorder="1" applyAlignment="1">
      <alignment horizontal="center" vertical="center" wrapText="1"/>
    </xf>
    <xf numFmtId="0" fontId="84" fillId="0" borderId="4" xfId="0" applyFont="1" applyFill="1" applyBorder="1" applyAlignment="1">
      <alignment horizontal="left" vertical="top" wrapText="1"/>
    </xf>
    <xf numFmtId="0" fontId="84" fillId="0" borderId="18" xfId="0" applyFont="1" applyFill="1" applyBorder="1" applyAlignment="1">
      <alignment horizontal="left" vertical="top" wrapText="1"/>
    </xf>
    <xf numFmtId="42" fontId="84" fillId="0" borderId="4" xfId="1" applyNumberFormat="1" applyFont="1" applyFill="1" applyBorder="1" applyAlignment="1">
      <alignment horizontal="center" vertical="center"/>
    </xf>
    <xf numFmtId="42" fontId="84" fillId="0" borderId="17" xfId="1" applyNumberFormat="1" applyFont="1" applyFill="1" applyBorder="1" applyAlignment="1">
      <alignment horizontal="center" vertical="center"/>
    </xf>
    <xf numFmtId="42" fontId="84" fillId="0" borderId="18" xfId="1" applyNumberFormat="1" applyFont="1" applyFill="1" applyBorder="1" applyAlignment="1">
      <alignment horizontal="center" vertical="center"/>
    </xf>
    <xf numFmtId="9" fontId="84" fillId="0" borderId="4" xfId="1" applyFont="1" applyFill="1" applyBorder="1" applyAlignment="1">
      <alignment horizontal="center" vertical="center" wrapText="1"/>
    </xf>
    <xf numFmtId="9" fontId="84" fillId="0" borderId="18" xfId="1" applyFont="1" applyFill="1" applyBorder="1" applyAlignment="1">
      <alignment horizontal="center" vertical="center" wrapText="1"/>
    </xf>
    <xf numFmtId="9" fontId="84" fillId="0" borderId="4" xfId="1" applyFont="1" applyFill="1" applyBorder="1" applyAlignment="1">
      <alignment horizontal="center" vertical="center"/>
    </xf>
    <xf numFmtId="9" fontId="84" fillId="0" borderId="17" xfId="1" applyFont="1" applyFill="1" applyBorder="1" applyAlignment="1">
      <alignment horizontal="center" vertical="center"/>
    </xf>
    <xf numFmtId="9" fontId="84" fillId="0" borderId="17" xfId="1" applyFont="1" applyFill="1" applyBorder="1" applyAlignment="1">
      <alignment horizontal="center" vertical="center" wrapText="1"/>
    </xf>
    <xf numFmtId="0" fontId="84" fillId="0" borderId="17" xfId="0" applyFont="1" applyFill="1" applyBorder="1" applyAlignment="1">
      <alignment horizontal="center" vertical="center"/>
    </xf>
    <xf numFmtId="9" fontId="84" fillId="0" borderId="17" xfId="0" applyNumberFormat="1" applyFont="1" applyFill="1" applyBorder="1" applyAlignment="1">
      <alignment horizontal="center" vertical="center"/>
    </xf>
    <xf numFmtId="9" fontId="84" fillId="0" borderId="18" xfId="1" applyFont="1" applyFill="1" applyBorder="1" applyAlignment="1">
      <alignment horizontal="center" vertical="center"/>
    </xf>
    <xf numFmtId="0" fontId="35" fillId="26" borderId="33" xfId="0" applyFont="1" applyFill="1" applyBorder="1" applyAlignment="1">
      <alignment horizontal="center"/>
    </xf>
    <xf numFmtId="0" fontId="35" fillId="26" borderId="34" xfId="0" applyFont="1" applyFill="1" applyBorder="1" applyAlignment="1">
      <alignment horizontal="center"/>
    </xf>
    <xf numFmtId="0" fontId="35" fillId="26" borderId="35" xfId="0" applyFont="1" applyFill="1" applyBorder="1" applyAlignment="1">
      <alignment horizontal="center"/>
    </xf>
    <xf numFmtId="0" fontId="35" fillId="27" borderId="33" xfId="0" applyFont="1" applyFill="1" applyBorder="1" applyAlignment="1">
      <alignment horizontal="center"/>
    </xf>
    <xf numFmtId="0" fontId="35" fillId="27" borderId="34" xfId="0" applyFont="1" applyFill="1" applyBorder="1" applyAlignment="1">
      <alignment horizontal="center"/>
    </xf>
    <xf numFmtId="0" fontId="35" fillId="27" borderId="35" xfId="0" applyFont="1" applyFill="1" applyBorder="1" applyAlignment="1">
      <alignment horizontal="center"/>
    </xf>
    <xf numFmtId="0" fontId="35" fillId="8" borderId="33" xfId="0" applyFont="1" applyFill="1" applyBorder="1" applyAlignment="1">
      <alignment horizontal="center"/>
    </xf>
    <xf numFmtId="0" fontId="35" fillId="8" borderId="34" xfId="0" applyFont="1" applyFill="1" applyBorder="1" applyAlignment="1">
      <alignment horizontal="center"/>
    </xf>
    <xf numFmtId="0" fontId="35" fillId="8" borderId="35" xfId="0" applyFont="1" applyFill="1" applyBorder="1" applyAlignment="1">
      <alignment horizontal="center"/>
    </xf>
    <xf numFmtId="0" fontId="50" fillId="0" borderId="5" xfId="0" applyFont="1" applyFill="1" applyBorder="1" applyAlignment="1">
      <alignment horizontal="center" wrapText="1"/>
    </xf>
    <xf numFmtId="0" fontId="50" fillId="0" borderId="6" xfId="0" applyFont="1" applyFill="1" applyBorder="1" applyAlignment="1">
      <alignment horizontal="center" wrapText="1"/>
    </xf>
    <xf numFmtId="0" fontId="50" fillId="0" borderId="7" xfId="0" applyFont="1" applyFill="1" applyBorder="1" applyAlignment="1">
      <alignment horizontal="center" wrapText="1"/>
    </xf>
    <xf numFmtId="0" fontId="50" fillId="0" borderId="8" xfId="0" applyFont="1" applyFill="1" applyBorder="1" applyAlignment="1">
      <alignment horizontal="center" wrapText="1"/>
    </xf>
    <xf numFmtId="0" fontId="50" fillId="0" borderId="9" xfId="0" applyFont="1" applyFill="1" applyBorder="1" applyAlignment="1">
      <alignment horizontal="center" wrapText="1"/>
    </xf>
    <xf numFmtId="0" fontId="50" fillId="0" borderId="10" xfId="0" applyFont="1" applyFill="1" applyBorder="1" applyAlignment="1">
      <alignment horizontal="center" wrapText="1"/>
    </xf>
    <xf numFmtId="0" fontId="46" fillId="0" borderId="6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0" fillId="0" borderId="5" xfId="0" applyFill="1" applyBorder="1" applyAlignment="1">
      <alignment horizont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1"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29" xfId="0" applyFill="1" applyBorder="1" applyAlignment="1">
      <alignment horizontal="center"/>
    </xf>
    <xf numFmtId="0" fontId="0" fillId="0" borderId="10" xfId="0" applyFill="1" applyBorder="1" applyAlignment="1">
      <alignment horizontal="center"/>
    </xf>
    <xf numFmtId="0" fontId="46" fillId="0" borderId="4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wrapText="1"/>
    </xf>
    <xf numFmtId="0" fontId="46" fillId="0" borderId="29" xfId="0" applyFont="1" applyFill="1" applyBorder="1" applyAlignment="1">
      <alignment horizontal="center" wrapText="1"/>
    </xf>
    <xf numFmtId="0" fontId="46" fillId="0" borderId="29" xfId="0" applyFont="1" applyFill="1" applyBorder="1" applyAlignment="1">
      <alignment horizontal="center" vertical="center" wrapText="1"/>
    </xf>
    <xf numFmtId="0" fontId="46" fillId="0" borderId="59"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68" xfId="0" applyFont="1" applyFill="1" applyBorder="1" applyAlignment="1">
      <alignment horizontal="center" vertical="center" wrapText="1"/>
    </xf>
    <xf numFmtId="0" fontId="32" fillId="0" borderId="0" xfId="0" applyFont="1" applyAlignment="1">
      <alignment horizontal="left"/>
    </xf>
    <xf numFmtId="0" fontId="50" fillId="0" borderId="37" xfId="0" applyFont="1" applyBorder="1" applyAlignment="1">
      <alignment horizontal="center"/>
    </xf>
    <xf numFmtId="0" fontId="50" fillId="0" borderId="62" xfId="0" applyFont="1" applyBorder="1" applyAlignment="1">
      <alignment horizontal="center"/>
    </xf>
    <xf numFmtId="0" fontId="50" fillId="0" borderId="36" xfId="0" applyFont="1" applyBorder="1" applyAlignment="1">
      <alignment horizontal="center"/>
    </xf>
    <xf numFmtId="0" fontId="50" fillId="0" borderId="0" xfId="0" applyFont="1" applyBorder="1" applyAlignment="1">
      <alignment horizontal="center"/>
    </xf>
    <xf numFmtId="0" fontId="50" fillId="0" borderId="38" xfId="0" applyFont="1" applyBorder="1" applyAlignment="1">
      <alignment horizontal="center"/>
    </xf>
    <xf numFmtId="0" fontId="50" fillId="0" borderId="66" xfId="0" applyFont="1" applyBorder="1" applyAlignment="1">
      <alignment horizontal="center"/>
    </xf>
    <xf numFmtId="0" fontId="7" fillId="0" borderId="37" xfId="0" applyFont="1" applyBorder="1" applyAlignment="1">
      <alignment horizontal="center"/>
    </xf>
    <xf numFmtId="0" fontId="7" fillId="0" borderId="62" xfId="0" applyFont="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7" fillId="0" borderId="71" xfId="0" applyFont="1" applyFill="1" applyBorder="1" applyAlignment="1">
      <alignment horizontal="center"/>
    </xf>
    <xf numFmtId="0" fontId="0" fillId="0" borderId="37" xfId="0" applyBorder="1" applyAlignment="1">
      <alignment horizontal="center"/>
    </xf>
    <xf numFmtId="0" fontId="0" fillId="0" borderId="62" xfId="0" applyBorder="1" applyAlignment="1">
      <alignment horizontal="center"/>
    </xf>
    <xf numFmtId="0" fontId="0" fillId="0" borderId="44"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45" xfId="0" applyBorder="1" applyAlignment="1">
      <alignment horizontal="center"/>
    </xf>
    <xf numFmtId="0" fontId="0" fillId="0" borderId="38" xfId="0" applyBorder="1" applyAlignment="1">
      <alignment horizontal="center"/>
    </xf>
    <xf numFmtId="0" fontId="0" fillId="0" borderId="66" xfId="0" applyBorder="1" applyAlignment="1">
      <alignment horizontal="center"/>
    </xf>
    <xf numFmtId="0" fontId="0" fillId="0" borderId="48" xfId="0" applyBorder="1" applyAlignment="1">
      <alignment horizontal="center"/>
    </xf>
    <xf numFmtId="0" fontId="7" fillId="0" borderId="36" xfId="0" applyFont="1" applyBorder="1" applyAlignment="1">
      <alignment horizontal="center"/>
    </xf>
    <xf numFmtId="0" fontId="7" fillId="0" borderId="0" xfId="0" applyFont="1" applyBorder="1" applyAlignment="1">
      <alignment horizontal="center"/>
    </xf>
    <xf numFmtId="0" fontId="7" fillId="0" borderId="50" xfId="0" applyFont="1" applyBorder="1" applyAlignment="1">
      <alignment horizontal="center"/>
    </xf>
    <xf numFmtId="0" fontId="7" fillId="0" borderId="42" xfId="0" applyFont="1" applyBorder="1" applyAlignment="1">
      <alignment horizontal="center"/>
    </xf>
    <xf numFmtId="0" fontId="7" fillId="0" borderId="57" xfId="0" applyFont="1" applyBorder="1" applyAlignment="1">
      <alignment horizontal="center"/>
    </xf>
    <xf numFmtId="0" fontId="7" fillId="0" borderId="38" xfId="0" applyFont="1" applyBorder="1" applyAlignment="1">
      <alignment horizontal="center"/>
    </xf>
    <xf numFmtId="0" fontId="7" fillId="0" borderId="66" xfId="0" applyFont="1" applyBorder="1" applyAlignment="1">
      <alignment horizontal="center"/>
    </xf>
    <xf numFmtId="0" fontId="7" fillId="3" borderId="72" xfId="0" applyFont="1" applyFill="1" applyBorder="1" applyAlignment="1">
      <alignment horizontal="center" vertical="center"/>
    </xf>
    <xf numFmtId="0" fontId="7" fillId="3" borderId="68" xfId="0" applyFont="1" applyFill="1" applyBorder="1" applyAlignment="1">
      <alignment horizontal="center" vertical="center"/>
    </xf>
    <xf numFmtId="9" fontId="61" fillId="19" borderId="12" xfId="1" applyFont="1" applyFill="1" applyBorder="1" applyAlignment="1">
      <alignment vertical="center"/>
    </xf>
    <xf numFmtId="9" fontId="61" fillId="19" borderId="64" xfId="1" applyFont="1" applyFill="1" applyBorder="1" applyAlignment="1">
      <alignment vertical="center"/>
    </xf>
    <xf numFmtId="9" fontId="61" fillId="19" borderId="16" xfId="1" applyFont="1" applyFill="1" applyBorder="1" applyAlignment="1">
      <alignment vertical="center"/>
    </xf>
    <xf numFmtId="9" fontId="61" fillId="19" borderId="4" xfId="1" applyFont="1" applyFill="1" applyBorder="1" applyAlignment="1">
      <alignment vertical="center"/>
    </xf>
    <xf numFmtId="9" fontId="61" fillId="19" borderId="17" xfId="1" applyFont="1" applyFill="1" applyBorder="1" applyAlignment="1">
      <alignment vertical="center"/>
    </xf>
    <xf numFmtId="9" fontId="61" fillId="19" borderId="18" xfId="1" applyFont="1" applyFill="1" applyBorder="1" applyAlignment="1">
      <alignment vertical="center"/>
    </xf>
    <xf numFmtId="9" fontId="53" fillId="19" borderId="11" xfId="1" applyFont="1" applyFill="1" applyBorder="1" applyAlignment="1">
      <alignment vertical="center"/>
    </xf>
    <xf numFmtId="9" fontId="53" fillId="19" borderId="14" xfId="1" applyFont="1" applyFill="1" applyBorder="1" applyAlignment="1">
      <alignment vertical="center"/>
    </xf>
    <xf numFmtId="9" fontId="53" fillId="19" borderId="41" xfId="1" applyFont="1" applyFill="1" applyBorder="1" applyAlignment="1">
      <alignment vertical="center"/>
    </xf>
    <xf numFmtId="9" fontId="61" fillId="19" borderId="12" xfId="1" applyFont="1" applyFill="1" applyBorder="1" applyAlignment="1">
      <alignment horizontal="right" vertical="center"/>
    </xf>
    <xf numFmtId="9" fontId="61" fillId="19" borderId="64" xfId="1" applyFont="1" applyFill="1" applyBorder="1" applyAlignment="1">
      <alignment horizontal="right" vertical="center"/>
    </xf>
    <xf numFmtId="9" fontId="61" fillId="19" borderId="16" xfId="1" applyFont="1" applyFill="1" applyBorder="1" applyAlignment="1">
      <alignment horizontal="right" vertical="center"/>
    </xf>
    <xf numFmtId="0" fontId="47" fillId="0" borderId="1" xfId="0" applyFont="1" applyFill="1" applyBorder="1" applyAlignment="1">
      <alignment horizontal="justify" vertical="center" wrapText="1"/>
    </xf>
    <xf numFmtId="0" fontId="47" fillId="0" borderId="4" xfId="0" applyFont="1" applyFill="1" applyBorder="1" applyAlignment="1">
      <alignment horizontal="justify" vertical="center" wrapText="1"/>
    </xf>
    <xf numFmtId="0" fontId="59" fillId="0" borderId="18"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59" fillId="0" borderId="4" xfId="0" applyFont="1" applyFill="1" applyBorder="1" applyAlignment="1">
      <alignment horizontal="justify" vertical="center" wrapText="1"/>
    </xf>
    <xf numFmtId="0" fontId="47" fillId="0" borderId="18" xfId="0" applyFont="1" applyFill="1" applyBorder="1" applyAlignment="1">
      <alignment horizontal="justify" vertical="center" wrapText="1"/>
    </xf>
    <xf numFmtId="9" fontId="53" fillId="19" borderId="7" xfId="1" applyFont="1" applyFill="1" applyBorder="1" applyAlignment="1">
      <alignment vertical="center"/>
    </xf>
    <xf numFmtId="0" fontId="47" fillId="0" borderId="30" xfId="0" applyFont="1" applyFill="1" applyBorder="1" applyAlignment="1">
      <alignment horizontal="justify" vertical="center" wrapText="1"/>
    </xf>
    <xf numFmtId="0" fontId="47" fillId="0" borderId="17" xfId="0" applyFont="1" applyFill="1" applyBorder="1" applyAlignment="1">
      <alignment horizontal="justify" vertical="center" wrapText="1"/>
    </xf>
    <xf numFmtId="0" fontId="47" fillId="0" borderId="30" xfId="0"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0" borderId="18" xfId="0" applyFont="1" applyFill="1" applyBorder="1" applyAlignment="1">
      <alignment horizontal="center" vertical="center" wrapText="1"/>
    </xf>
    <xf numFmtId="9" fontId="63" fillId="19" borderId="24" xfId="0" applyNumberFormat="1" applyFont="1" applyFill="1" applyBorder="1" applyAlignment="1">
      <alignment horizontal="center" vertical="center"/>
    </xf>
    <xf numFmtId="9" fontId="63" fillId="19" borderId="25" xfId="0" applyNumberFormat="1" applyFont="1" applyFill="1" applyBorder="1" applyAlignment="1">
      <alignment horizontal="center" vertical="center"/>
    </xf>
    <xf numFmtId="9" fontId="63" fillId="19" borderId="26" xfId="0" applyNumberFormat="1" applyFont="1" applyFill="1" applyBorder="1" applyAlignment="1">
      <alignment horizontal="center" vertical="center"/>
    </xf>
    <xf numFmtId="9" fontId="63" fillId="19" borderId="24" xfId="1" applyFont="1" applyFill="1" applyBorder="1" applyAlignment="1">
      <alignment horizontal="center" vertical="center"/>
    </xf>
    <xf numFmtId="9" fontId="63" fillId="19" borderId="25" xfId="1" applyFont="1" applyFill="1" applyBorder="1" applyAlignment="1">
      <alignment horizontal="center" vertical="center"/>
    </xf>
    <xf numFmtId="9" fontId="63" fillId="19" borderId="26" xfId="1" applyFont="1" applyFill="1" applyBorder="1" applyAlignment="1">
      <alignment horizontal="center" vertical="center"/>
    </xf>
    <xf numFmtId="9" fontId="63" fillId="19" borderId="37" xfId="0" applyNumberFormat="1" applyFont="1" applyFill="1" applyBorder="1" applyAlignment="1">
      <alignment horizontal="center" vertical="center"/>
    </xf>
    <xf numFmtId="9" fontId="63" fillId="19" borderId="36" xfId="0" applyNumberFormat="1" applyFont="1" applyFill="1" applyBorder="1" applyAlignment="1">
      <alignment horizontal="center" vertical="center"/>
    </xf>
    <xf numFmtId="9" fontId="63" fillId="19" borderId="38" xfId="0" applyNumberFormat="1" applyFont="1" applyFill="1" applyBorder="1" applyAlignment="1">
      <alignment horizontal="center" vertical="center"/>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0" fontId="62" fillId="0" borderId="26"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45" xfId="0" applyFont="1" applyBorder="1" applyAlignment="1">
      <alignment horizontal="center" vertical="center" wrapText="1"/>
    </xf>
    <xf numFmtId="0" fontId="62" fillId="0" borderId="48" xfId="0" applyFont="1" applyBorder="1" applyAlignment="1">
      <alignment horizontal="center" vertical="center" wrapText="1"/>
    </xf>
    <xf numFmtId="1" fontId="63" fillId="19" borderId="24" xfId="1" applyNumberFormat="1" applyFont="1" applyFill="1" applyBorder="1" applyAlignment="1">
      <alignment horizontal="center" vertical="center"/>
    </xf>
    <xf numFmtId="1" fontId="63" fillId="19" borderId="25" xfId="1" applyNumberFormat="1" applyFont="1" applyFill="1" applyBorder="1" applyAlignment="1">
      <alignment horizontal="center" vertical="center"/>
    </xf>
    <xf numFmtId="1" fontId="63" fillId="19" borderId="26" xfId="1" applyNumberFormat="1" applyFont="1" applyFill="1" applyBorder="1" applyAlignment="1">
      <alignment horizontal="center" vertical="center"/>
    </xf>
    <xf numFmtId="1" fontId="63" fillId="19" borderId="24" xfId="0" applyNumberFormat="1" applyFont="1" applyFill="1" applyBorder="1" applyAlignment="1">
      <alignment horizontal="center" vertical="center"/>
    </xf>
    <xf numFmtId="1" fontId="63" fillId="19" borderId="25" xfId="0" applyNumberFormat="1" applyFont="1" applyFill="1" applyBorder="1" applyAlignment="1">
      <alignment horizontal="center" vertical="center"/>
    </xf>
    <xf numFmtId="1" fontId="63" fillId="19" borderId="26" xfId="0" applyNumberFormat="1" applyFont="1" applyFill="1" applyBorder="1" applyAlignment="1">
      <alignment horizontal="center" vertical="center"/>
    </xf>
    <xf numFmtId="0" fontId="59" fillId="0" borderId="12" xfId="0" applyFont="1" applyBorder="1" applyAlignment="1">
      <alignment horizontal="justify" vertical="center" wrapText="1"/>
    </xf>
    <xf numFmtId="0" fontId="59" fillId="0" borderId="64" xfId="0" applyFont="1" applyBorder="1" applyAlignment="1">
      <alignment horizontal="justify" vertical="center" wrapText="1"/>
    </xf>
    <xf numFmtId="0" fontId="59" fillId="0" borderId="16" xfId="0" applyFont="1" applyBorder="1" applyAlignment="1">
      <alignment horizontal="justify" vertical="center" wrapText="1"/>
    </xf>
    <xf numFmtId="0" fontId="64" fillId="0" borderId="12" xfId="0" applyFont="1" applyBorder="1" applyAlignment="1">
      <alignment horizontal="center" vertical="center" wrapText="1"/>
    </xf>
    <xf numFmtId="0" fontId="64" fillId="0" borderId="64" xfId="0" applyFont="1" applyBorder="1" applyAlignment="1">
      <alignment horizontal="center" vertical="center" wrapText="1"/>
    </xf>
    <xf numFmtId="0" fontId="59" fillId="0" borderId="28"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4" xfId="0" applyFont="1" applyBorder="1" applyAlignment="1">
      <alignment horizontal="justify" vertical="center" wrapText="1"/>
    </xf>
    <xf numFmtId="0" fontId="58" fillId="27" borderId="39" xfId="0" applyFont="1" applyFill="1" applyBorder="1" applyAlignment="1">
      <alignment horizontal="center" vertical="center" wrapText="1"/>
    </xf>
    <xf numFmtId="0" fontId="58" fillId="27" borderId="46" xfId="0" applyFont="1" applyFill="1" applyBorder="1" applyAlignment="1">
      <alignment horizontal="center" vertical="center" wrapText="1"/>
    </xf>
    <xf numFmtId="0" fontId="58" fillId="27" borderId="40" xfId="0" applyFont="1" applyFill="1" applyBorder="1" applyAlignment="1">
      <alignment horizontal="center" vertical="center" wrapText="1"/>
    </xf>
    <xf numFmtId="0" fontId="47" fillId="0" borderId="28" xfId="0" applyFont="1" applyBorder="1" applyAlignment="1">
      <alignment horizontal="justify" vertical="center" wrapText="1"/>
    </xf>
    <xf numFmtId="0" fontId="47" fillId="0" borderId="1" xfId="0" applyFont="1" applyBorder="1" applyAlignment="1">
      <alignment horizontal="justify" vertical="center" wrapText="1"/>
    </xf>
    <xf numFmtId="0" fontId="48" fillId="3" borderId="33" xfId="2" applyFont="1" applyFill="1" applyBorder="1" applyAlignment="1">
      <alignment horizontal="center" vertical="center"/>
    </xf>
    <xf numFmtId="0" fontId="48" fillId="3" borderId="35" xfId="2" applyFont="1" applyFill="1" applyBorder="1" applyAlignment="1">
      <alignment horizontal="center" vertical="center"/>
    </xf>
    <xf numFmtId="0" fontId="41" fillId="26" borderId="37" xfId="0" applyFont="1" applyFill="1" applyBorder="1" applyAlignment="1">
      <alignment horizontal="center" vertical="center" wrapText="1"/>
    </xf>
    <xf numFmtId="0" fontId="41" fillId="26" borderId="62" xfId="0" applyFont="1" applyFill="1" applyBorder="1" applyAlignment="1">
      <alignment horizontal="center" vertical="center" wrapText="1"/>
    </xf>
    <xf numFmtId="0" fontId="41" fillId="26" borderId="34" xfId="0" applyFont="1" applyFill="1" applyBorder="1" applyAlignment="1">
      <alignment horizontal="center" vertical="center" wrapText="1"/>
    </xf>
    <xf numFmtId="0" fontId="41" fillId="26" borderId="35" xfId="0" applyFont="1" applyFill="1" applyBorder="1" applyAlignment="1">
      <alignment horizontal="center" vertical="center" wrapText="1"/>
    </xf>
    <xf numFmtId="0" fontId="55" fillId="18" borderId="33" xfId="0" applyFont="1" applyFill="1" applyBorder="1" applyAlignment="1">
      <alignment horizontal="center" vertical="center" wrapText="1"/>
    </xf>
    <xf numFmtId="0" fontId="55" fillId="18" borderId="34" xfId="0" applyFont="1" applyFill="1" applyBorder="1" applyAlignment="1">
      <alignment horizontal="center" vertical="center" wrapText="1"/>
    </xf>
    <xf numFmtId="0" fontId="55" fillId="18" borderId="35" xfId="0" applyFont="1" applyFill="1" applyBorder="1" applyAlignment="1">
      <alignment horizontal="center" vertical="center" wrapText="1"/>
    </xf>
    <xf numFmtId="167" fontId="63" fillId="19" borderId="37" xfId="0" applyNumberFormat="1" applyFont="1" applyFill="1" applyBorder="1" applyAlignment="1">
      <alignment horizontal="center" vertical="center"/>
    </xf>
    <xf numFmtId="167" fontId="63" fillId="19" borderId="36" xfId="0" applyNumberFormat="1" applyFont="1" applyFill="1" applyBorder="1" applyAlignment="1">
      <alignment horizontal="center" vertical="center"/>
    </xf>
    <xf numFmtId="167" fontId="63" fillId="19" borderId="38" xfId="0" applyNumberFormat="1" applyFont="1" applyFill="1" applyBorder="1" applyAlignment="1">
      <alignment horizontal="center" vertical="center"/>
    </xf>
    <xf numFmtId="0" fontId="59" fillId="0" borderId="32" xfId="0" applyFont="1" applyFill="1" applyBorder="1" applyAlignment="1">
      <alignment horizontal="justify" vertical="center" wrapText="1"/>
    </xf>
    <xf numFmtId="0" fontId="59" fillId="0" borderId="64" xfId="0" applyFont="1" applyFill="1" applyBorder="1" applyAlignment="1">
      <alignment horizontal="justify" vertical="center" wrapText="1"/>
    </xf>
    <xf numFmtId="0" fontId="59" fillId="0" borderId="16" xfId="0" applyFont="1" applyFill="1" applyBorder="1" applyAlignment="1">
      <alignment horizontal="justify" vertical="center" wrapText="1"/>
    </xf>
    <xf numFmtId="0" fontId="60" fillId="0" borderId="28" xfId="0" applyFont="1" applyFill="1" applyBorder="1" applyAlignment="1">
      <alignment horizontal="justify" vertical="center" wrapText="1"/>
    </xf>
    <xf numFmtId="0" fontId="60" fillId="0" borderId="1" xfId="0" applyFont="1" applyFill="1" applyBorder="1" applyAlignment="1">
      <alignment horizontal="justify" vertical="center" wrapText="1"/>
    </xf>
    <xf numFmtId="0" fontId="67" fillId="27" borderId="39" xfId="0" applyFont="1" applyFill="1" applyBorder="1" applyAlignment="1">
      <alignment horizontal="center" vertical="center"/>
    </xf>
    <xf numFmtId="0" fontId="67" fillId="27" borderId="46" xfId="0" applyFont="1" applyFill="1" applyBorder="1" applyAlignment="1">
      <alignment horizontal="center" vertical="center"/>
    </xf>
    <xf numFmtId="0" fontId="67" fillId="27" borderId="40" xfId="0" applyFont="1" applyFill="1" applyBorder="1" applyAlignment="1">
      <alignment horizontal="center" vertical="center"/>
    </xf>
    <xf numFmtId="0" fontId="47" fillId="0" borderId="4" xfId="0" applyFont="1" applyBorder="1" applyAlignment="1">
      <alignment horizontal="justify" vertical="center" wrapText="1"/>
    </xf>
    <xf numFmtId="0" fontId="59" fillId="0" borderId="18" xfId="0" applyFont="1" applyBorder="1" applyAlignment="1">
      <alignment horizontal="justify" vertical="center" wrapText="1"/>
    </xf>
    <xf numFmtId="0" fontId="69" fillId="27" borderId="39" xfId="0" applyFont="1" applyFill="1" applyBorder="1" applyAlignment="1">
      <alignment horizontal="center" vertical="center" wrapText="1"/>
    </xf>
    <xf numFmtId="0" fontId="69" fillId="27" borderId="46" xfId="0" applyFont="1" applyFill="1" applyBorder="1" applyAlignment="1">
      <alignment horizontal="center" vertical="center" wrapText="1"/>
    </xf>
    <xf numFmtId="0" fontId="69" fillId="27" borderId="40" xfId="0" applyFont="1" applyFill="1" applyBorder="1" applyAlignment="1">
      <alignment horizontal="center" vertical="center" wrapText="1"/>
    </xf>
    <xf numFmtId="0" fontId="59" fillId="0" borderId="17" xfId="0" applyFont="1" applyFill="1" applyBorder="1" applyAlignment="1">
      <alignment horizontal="justify" vertical="center" wrapText="1"/>
    </xf>
    <xf numFmtId="0" fontId="59" fillId="0" borderId="17" xfId="0" applyFont="1" applyBorder="1" applyAlignment="1">
      <alignment horizontal="justify" vertical="center" wrapText="1"/>
    </xf>
    <xf numFmtId="0" fontId="47" fillId="0" borderId="18" xfId="0" applyFont="1" applyBorder="1" applyAlignment="1">
      <alignment horizontal="justify" vertical="center" wrapText="1"/>
    </xf>
    <xf numFmtId="0" fontId="58" fillId="0" borderId="4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51" xfId="0" applyFont="1" applyBorder="1" applyAlignment="1">
      <alignment horizontal="center" vertical="center" wrapText="1"/>
    </xf>
    <xf numFmtId="0" fontId="58" fillId="27" borderId="13" xfId="0" applyFont="1" applyFill="1" applyBorder="1" applyAlignment="1">
      <alignment horizontal="center" vertical="center" wrapText="1"/>
    </xf>
    <xf numFmtId="0" fontId="58" fillId="27" borderId="30" xfId="0" applyFont="1" applyFill="1" applyBorder="1" applyAlignment="1">
      <alignment horizontal="center" vertical="center" wrapText="1"/>
    </xf>
    <xf numFmtId="0" fontId="58" fillId="27" borderId="32" xfId="0" applyFont="1" applyFill="1" applyBorder="1" applyAlignment="1">
      <alignment horizontal="center" vertical="center" wrapText="1"/>
    </xf>
    <xf numFmtId="0" fontId="58" fillId="0" borderId="50" xfId="0" applyFont="1" applyBorder="1" applyAlignment="1">
      <alignment horizontal="center" vertical="center" wrapText="1"/>
    </xf>
    <xf numFmtId="0" fontId="58" fillId="27" borderId="33" xfId="0" applyFont="1" applyFill="1" applyBorder="1" applyAlignment="1">
      <alignment horizontal="center" vertical="center" wrapText="1"/>
    </xf>
    <xf numFmtId="0" fontId="58" fillId="27" borderId="34" xfId="0" applyFont="1" applyFill="1" applyBorder="1" applyAlignment="1">
      <alignment horizontal="center" vertical="center" wrapText="1"/>
    </xf>
    <xf numFmtId="0" fontId="58" fillId="27" borderId="48" xfId="0" applyFont="1" applyFill="1" applyBorder="1" applyAlignment="1">
      <alignment horizontal="center" vertical="center" wrapText="1"/>
    </xf>
    <xf numFmtId="0" fontId="59" fillId="0" borderId="12" xfId="0" applyFont="1" applyFill="1" applyBorder="1" applyAlignment="1">
      <alignment horizontal="justify" vertical="center" wrapText="1"/>
    </xf>
    <xf numFmtId="0" fontId="47" fillId="0" borderId="4" xfId="0" applyFont="1" applyFill="1" applyBorder="1" applyAlignment="1">
      <alignment horizontal="center" vertical="center" wrapText="1"/>
    </xf>
    <xf numFmtId="0" fontId="47" fillId="0" borderId="47" xfId="0" applyFont="1" applyFill="1" applyBorder="1" applyAlignment="1">
      <alignment horizontal="center" vertical="center" wrapText="1"/>
    </xf>
    <xf numFmtId="0" fontId="64" fillId="0" borderId="12" xfId="0" applyFont="1" applyFill="1" applyBorder="1" applyAlignment="1">
      <alignment horizontal="left" vertical="center" wrapText="1"/>
    </xf>
    <xf numFmtId="0" fontId="64" fillId="0" borderId="64" xfId="0" applyFont="1" applyFill="1" applyBorder="1" applyAlignment="1">
      <alignment horizontal="left" vertical="center" wrapText="1"/>
    </xf>
    <xf numFmtId="0" fontId="64" fillId="0" borderId="63"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64" xfId="0" applyFont="1" applyFill="1" applyBorder="1" applyAlignment="1">
      <alignment horizontal="left" vertical="center" wrapText="1"/>
    </xf>
    <xf numFmtId="0" fontId="59" fillId="0" borderId="16" xfId="0" applyFont="1" applyFill="1" applyBorder="1" applyAlignment="1">
      <alignment horizontal="left" vertical="center" wrapText="1"/>
    </xf>
    <xf numFmtId="0" fontId="64" fillId="0" borderId="32" xfId="0" applyFont="1" applyBorder="1" applyAlignment="1">
      <alignment horizontal="left" vertical="center" wrapText="1"/>
    </xf>
    <xf numFmtId="0" fontId="64" fillId="0" borderId="64" xfId="0" applyFont="1" applyBorder="1" applyAlignment="1">
      <alignment horizontal="left" vertical="center" wrapText="1"/>
    </xf>
    <xf numFmtId="0" fontId="58" fillId="0" borderId="5" xfId="0" applyFont="1" applyBorder="1" applyAlignment="1">
      <alignment horizontal="center" vertical="center"/>
    </xf>
    <xf numFmtId="0" fontId="58" fillId="0" borderId="7" xfId="0" applyFont="1" applyBorder="1" applyAlignment="1">
      <alignment horizontal="center" vertical="center"/>
    </xf>
    <xf numFmtId="0" fontId="58" fillId="0" borderId="50" xfId="0" applyFont="1" applyBorder="1" applyAlignment="1">
      <alignment horizontal="center" vertical="center"/>
    </xf>
    <xf numFmtId="0" fontId="58" fillId="0" borderId="51" xfId="0" applyFont="1" applyBorder="1" applyAlignment="1">
      <alignment horizontal="center" vertical="center"/>
    </xf>
    <xf numFmtId="0" fontId="59" fillId="0" borderId="12" xfId="0" applyFont="1" applyBorder="1" applyAlignment="1">
      <alignment horizontal="left" vertical="center" wrapText="1"/>
    </xf>
    <xf numFmtId="0" fontId="59" fillId="0" borderId="63" xfId="0" applyFont="1" applyBorder="1" applyAlignment="1">
      <alignment horizontal="left"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6" fillId="0" borderId="29" xfId="0" applyFont="1" applyBorder="1" applyAlignment="1">
      <alignment horizontal="center"/>
    </xf>
    <xf numFmtId="0" fontId="7" fillId="0" borderId="61" xfId="0" applyFont="1" applyFill="1" applyBorder="1" applyAlignment="1">
      <alignment horizontal="center" vertical="center" wrapText="1"/>
    </xf>
    <xf numFmtId="0" fontId="50" fillId="0" borderId="56" xfId="0" applyFont="1" applyFill="1" applyBorder="1" applyAlignment="1">
      <alignment horizontal="center" wrapText="1"/>
    </xf>
    <xf numFmtId="0" fontId="50" fillId="0" borderId="52" xfId="0" applyFont="1" applyFill="1" applyBorder="1" applyAlignment="1">
      <alignment horizontal="center" wrapText="1"/>
    </xf>
    <xf numFmtId="0" fontId="50" fillId="0" borderId="53" xfId="0" applyFont="1" applyFill="1" applyBorder="1" applyAlignment="1">
      <alignment horizontal="center" wrapText="1"/>
    </xf>
    <xf numFmtId="0" fontId="50" fillId="0" borderId="24" xfId="0" applyFont="1" applyFill="1" applyBorder="1" applyAlignment="1">
      <alignment horizontal="center" wrapText="1"/>
    </xf>
    <xf numFmtId="0" fontId="50" fillId="0" borderId="25" xfId="0" applyFont="1" applyFill="1" applyBorder="1" applyAlignment="1">
      <alignment horizontal="center" wrapText="1"/>
    </xf>
    <xf numFmtId="0" fontId="50" fillId="0" borderId="26" xfId="0" applyFont="1" applyFill="1" applyBorder="1" applyAlignment="1">
      <alignment horizont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7" fillId="0" borderId="61" xfId="0" applyFont="1" applyBorder="1" applyAlignment="1">
      <alignment horizontal="center"/>
    </xf>
    <xf numFmtId="0" fontId="77" fillId="0" borderId="73" xfId="0" applyFont="1" applyBorder="1" applyAlignment="1">
      <alignment horizontal="center"/>
    </xf>
    <xf numFmtId="0" fontId="77" fillId="0" borderId="68" xfId="0" applyFont="1" applyBorder="1" applyAlignment="1">
      <alignment horizontal="center"/>
    </xf>
    <xf numFmtId="0" fontId="7" fillId="0" borderId="28" xfId="0" applyFont="1" applyBorder="1" applyAlignment="1">
      <alignment horizontal="center" vertical="center" wrapText="1"/>
    </xf>
    <xf numFmtId="0" fontId="78" fillId="0" borderId="28" xfId="0" applyFont="1" applyBorder="1" applyAlignment="1">
      <alignment horizontal="center" wrapText="1"/>
    </xf>
    <xf numFmtId="0" fontId="78" fillId="0" borderId="6" xfId="0" applyFont="1" applyBorder="1" applyAlignment="1">
      <alignment horizontal="center" wrapText="1"/>
    </xf>
    <xf numFmtId="0" fontId="78" fillId="0" borderId="1" xfId="0" applyFont="1" applyBorder="1" applyAlignment="1">
      <alignment horizontal="center" wrapText="1"/>
    </xf>
    <xf numFmtId="0" fontId="78" fillId="0" borderId="8" xfId="0" applyFont="1" applyBorder="1" applyAlignment="1">
      <alignment horizontal="center" wrapText="1"/>
    </xf>
    <xf numFmtId="0" fontId="78" fillId="0" borderId="29" xfId="0" applyFont="1" applyBorder="1" applyAlignment="1">
      <alignment horizontal="center" wrapText="1"/>
    </xf>
    <xf numFmtId="0" fontId="78" fillId="0" borderId="10" xfId="0" applyFont="1" applyBorder="1" applyAlignment="1">
      <alignment horizontal="center" wrapText="1"/>
    </xf>
    <xf numFmtId="0" fontId="79" fillId="0" borderId="1" xfId="0" applyFont="1" applyBorder="1" applyAlignment="1">
      <alignment horizontal="center" vertical="center" wrapText="1"/>
    </xf>
    <xf numFmtId="0" fontId="29" fillId="0" borderId="7" xfId="0" applyFont="1" applyBorder="1" applyAlignment="1">
      <alignment horizontal="left"/>
    </xf>
    <xf numFmtId="0" fontId="29" fillId="0" borderId="1" xfId="0" applyFont="1" applyBorder="1" applyAlignment="1">
      <alignment horizontal="left"/>
    </xf>
    <xf numFmtId="0" fontId="29" fillId="0" borderId="9" xfId="0" applyFont="1" applyBorder="1" applyAlignment="1">
      <alignment horizontal="left"/>
    </xf>
    <xf numFmtId="0" fontId="29" fillId="0" borderId="29" xfId="0" applyFont="1" applyBorder="1" applyAlignment="1">
      <alignment horizontal="left"/>
    </xf>
    <xf numFmtId="0" fontId="33" fillId="27" borderId="33" xfId="0" applyFont="1" applyFill="1" applyBorder="1" applyAlignment="1">
      <alignment horizontal="center"/>
    </xf>
    <xf numFmtId="0" fontId="33" fillId="27" borderId="34" xfId="0" applyFont="1" applyFill="1" applyBorder="1" applyAlignment="1">
      <alignment horizontal="center"/>
    </xf>
    <xf numFmtId="0" fontId="33" fillId="27" borderId="65" xfId="0" applyFont="1" applyFill="1" applyBorder="1" applyAlignment="1">
      <alignment horizontal="center"/>
    </xf>
    <xf numFmtId="0" fontId="29" fillId="0" borderId="41" xfId="0" applyFont="1" applyBorder="1" applyAlignment="1">
      <alignment horizontal="left"/>
    </xf>
    <xf numFmtId="0" fontId="29" fillId="0" borderId="18" xfId="0" applyFont="1" applyBorder="1" applyAlignment="1">
      <alignment horizontal="left"/>
    </xf>
    <xf numFmtId="0" fontId="7" fillId="0" borderId="0" xfId="0" applyFont="1" applyAlignment="1">
      <alignment horizontal="center"/>
    </xf>
    <xf numFmtId="0" fontId="0" fillId="0" borderId="9" xfId="0" applyBorder="1" applyAlignment="1">
      <alignment horizontal="left"/>
    </xf>
    <xf numFmtId="0" fontId="0" fillId="0" borderId="29" xfId="0" applyBorder="1" applyAlignment="1">
      <alignment horizontal="left"/>
    </xf>
    <xf numFmtId="0" fontId="38" fillId="16" borderId="1" xfId="0" applyFont="1" applyFill="1" applyBorder="1" applyAlignment="1">
      <alignment horizontal="center" vertical="center" wrapText="1" readingOrder="1"/>
    </xf>
    <xf numFmtId="0" fontId="37" fillId="0" borderId="1" xfId="0" applyFont="1" applyBorder="1" applyAlignment="1">
      <alignment vertical="center"/>
    </xf>
    <xf numFmtId="0" fontId="33" fillId="27" borderId="39" xfId="0" applyFont="1" applyFill="1" applyBorder="1" applyAlignment="1">
      <alignment horizontal="center"/>
    </xf>
    <xf numFmtId="0" fontId="33" fillId="27" borderId="46" xfId="0" applyFont="1" applyFill="1" applyBorder="1" applyAlignment="1">
      <alignment horizontal="center"/>
    </xf>
    <xf numFmtId="0" fontId="38" fillId="9" borderId="59" xfId="0" applyFont="1" applyFill="1" applyBorder="1" applyAlignment="1">
      <alignment horizontal="center" vertical="center" wrapText="1" readingOrder="1"/>
    </xf>
    <xf numFmtId="0" fontId="38" fillId="9" borderId="43" xfId="0" applyFont="1" applyFill="1" applyBorder="1" applyAlignment="1">
      <alignment horizontal="center" vertical="center" wrapText="1" readingOrder="1"/>
    </xf>
    <xf numFmtId="0" fontId="37" fillId="0" borderId="59" xfId="0" applyFont="1" applyBorder="1" applyAlignment="1">
      <alignment horizontal="left" vertical="center"/>
    </xf>
    <xf numFmtId="0" fontId="37" fillId="0" borderId="42" xfId="0" applyFont="1" applyBorder="1" applyAlignment="1">
      <alignment horizontal="left" vertical="center"/>
    </xf>
    <xf numFmtId="0" fontId="37" fillId="0" borderId="43" xfId="0" applyFont="1" applyBorder="1" applyAlignment="1">
      <alignment horizontal="left" vertical="center"/>
    </xf>
    <xf numFmtId="9" fontId="38" fillId="10" borderId="59" xfId="0" applyNumberFormat="1" applyFont="1" applyFill="1" applyBorder="1" applyAlignment="1">
      <alignment horizontal="center" vertical="center" wrapText="1" readingOrder="1"/>
    </xf>
    <xf numFmtId="9" fontId="38" fillId="10" borderId="43" xfId="0" applyNumberFormat="1" applyFont="1" applyFill="1" applyBorder="1" applyAlignment="1">
      <alignment horizontal="center" vertical="center" wrapText="1" readingOrder="1"/>
    </xf>
    <xf numFmtId="9" fontId="29" fillId="0" borderId="1" xfId="0" applyNumberFormat="1" applyFont="1" applyFill="1" applyBorder="1" applyAlignment="1">
      <alignment horizontal="justify" vertical="center" wrapText="1"/>
    </xf>
    <xf numFmtId="0" fontId="23" fillId="3" borderId="59" xfId="2" applyFont="1" applyFill="1" applyBorder="1" applyAlignment="1">
      <alignment horizontal="center" vertical="center"/>
    </xf>
    <xf numFmtId="0" fontId="23" fillId="3" borderId="42" xfId="2" applyFont="1" applyFill="1" applyBorder="1" applyAlignment="1">
      <alignment horizontal="center" vertical="center"/>
    </xf>
    <xf numFmtId="0" fontId="23" fillId="3" borderId="43" xfId="2" applyFont="1" applyFill="1" applyBorder="1" applyAlignment="1">
      <alignment horizontal="center" vertical="center"/>
    </xf>
    <xf numFmtId="0" fontId="36" fillId="0" borderId="59" xfId="0" applyFont="1" applyBorder="1" applyAlignment="1">
      <alignment horizontal="center" vertical="center"/>
    </xf>
    <xf numFmtId="0" fontId="36" fillId="0" borderId="43" xfId="0" applyFont="1" applyBorder="1" applyAlignment="1">
      <alignment horizontal="center" vertical="center"/>
    </xf>
    <xf numFmtId="0" fontId="38" fillId="17" borderId="59" xfId="0" applyFont="1" applyFill="1" applyBorder="1" applyAlignment="1">
      <alignment horizontal="center" vertical="center" wrapText="1" readingOrder="1"/>
    </xf>
    <xf numFmtId="0" fontId="38" fillId="17" borderId="43" xfId="0" applyFont="1" applyFill="1" applyBorder="1" applyAlignment="1">
      <alignment horizontal="center" vertical="center" wrapText="1" readingOrder="1"/>
    </xf>
    <xf numFmtId="42" fontId="29" fillId="0" borderId="4" xfId="1" applyNumberFormat="1" applyFont="1" applyFill="1" applyBorder="1" applyAlignment="1">
      <alignment horizontal="center" vertical="center"/>
    </xf>
    <xf numFmtId="42" fontId="29" fillId="0" borderId="18" xfId="1" applyNumberFormat="1" applyFont="1" applyFill="1" applyBorder="1" applyAlignment="1">
      <alignment horizontal="center" vertical="center"/>
    </xf>
    <xf numFmtId="0" fontId="29" fillId="0" borderId="4"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42" fontId="29" fillId="0" borderId="4" xfId="5" applyFont="1" applyFill="1" applyBorder="1" applyAlignment="1">
      <alignment horizontal="center" vertical="center"/>
    </xf>
    <xf numFmtId="42" fontId="29" fillId="0" borderId="18" xfId="5" applyFont="1" applyFill="1" applyBorder="1" applyAlignment="1">
      <alignment horizontal="center" vertical="center"/>
    </xf>
    <xf numFmtId="0" fontId="29" fillId="0" borderId="4" xfId="0" applyFont="1" applyFill="1" applyBorder="1" applyAlignment="1">
      <alignment horizontal="center"/>
    </xf>
    <xf numFmtId="0" fontId="29" fillId="0" borderId="18" xfId="0" applyFont="1" applyFill="1" applyBorder="1" applyAlignment="1">
      <alignment horizontal="center"/>
    </xf>
    <xf numFmtId="0" fontId="29" fillId="0" borderId="4" xfId="0" applyFont="1" applyFill="1" applyBorder="1" applyAlignment="1">
      <alignment horizontal="justify" vertical="center"/>
    </xf>
    <xf numFmtId="0" fontId="29" fillId="0" borderId="18" xfId="0" applyFont="1" applyFill="1" applyBorder="1" applyAlignment="1">
      <alignment horizontal="justify" vertical="center"/>
    </xf>
    <xf numFmtId="0" fontId="29" fillId="0" borderId="4" xfId="0" applyFont="1" applyFill="1" applyBorder="1" applyAlignment="1">
      <alignment horizontal="center" vertical="center" wrapText="1"/>
    </xf>
    <xf numFmtId="0" fontId="29" fillId="0" borderId="18" xfId="0" applyFont="1" applyFill="1" applyBorder="1" applyAlignment="1">
      <alignment horizontal="center" vertical="center" wrapText="1"/>
    </xf>
    <xf numFmtId="9" fontId="29" fillId="0" borderId="4" xfId="1" applyFont="1" applyFill="1" applyBorder="1" applyAlignment="1">
      <alignment horizontal="center" vertical="center" wrapText="1"/>
    </xf>
    <xf numFmtId="9" fontId="29" fillId="0" borderId="18" xfId="1" applyFont="1" applyFill="1" applyBorder="1" applyAlignment="1">
      <alignment horizontal="center" vertical="center" wrapText="1"/>
    </xf>
    <xf numFmtId="9" fontId="29" fillId="0" borderId="4"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4" xfId="1" applyNumberFormat="1" applyFont="1" applyFill="1" applyBorder="1" applyAlignment="1">
      <alignment horizontal="center" vertical="center"/>
    </xf>
    <xf numFmtId="9" fontId="29" fillId="0" borderId="18" xfId="1" applyNumberFormat="1" applyFont="1" applyFill="1" applyBorder="1" applyAlignment="1">
      <alignment horizontal="center" vertical="center"/>
    </xf>
    <xf numFmtId="0" fontId="34" fillId="0" borderId="4" xfId="0" applyFont="1" applyFill="1" applyBorder="1" applyAlignment="1">
      <alignment horizontal="center" vertical="center" wrapText="1"/>
    </xf>
    <xf numFmtId="0" fontId="34" fillId="0" borderId="18" xfId="0" applyFont="1" applyFill="1" applyBorder="1" applyAlignment="1">
      <alignment horizontal="center" vertical="center" wrapText="1"/>
    </xf>
    <xf numFmtId="42" fontId="29" fillId="0" borderId="1" xfId="5" applyFont="1" applyFill="1" applyBorder="1" applyAlignment="1">
      <alignment horizontal="right" vertical="center"/>
    </xf>
    <xf numFmtId="9" fontId="29" fillId="0" borderId="1" xfId="1" applyFont="1" applyFill="1" applyBorder="1" applyAlignment="1">
      <alignment horizontal="right" vertical="center"/>
    </xf>
    <xf numFmtId="9" fontId="29" fillId="0" borderId="17" xfId="1" applyNumberFormat="1" applyFont="1" applyFill="1" applyBorder="1" applyAlignment="1">
      <alignment horizontal="center" vertical="center"/>
    </xf>
    <xf numFmtId="0" fontId="29" fillId="0" borderId="17" xfId="0" applyFont="1" applyFill="1" applyBorder="1" applyAlignment="1">
      <alignment horizontal="center" vertical="center" wrapText="1"/>
    </xf>
    <xf numFmtId="42" fontId="29" fillId="0" borderId="17" xfId="5" applyFont="1" applyFill="1" applyBorder="1" applyAlignment="1">
      <alignment horizontal="center" vertical="center"/>
    </xf>
    <xf numFmtId="0" fontId="29" fillId="0" borderId="17" xfId="0" applyFont="1" applyFill="1" applyBorder="1" applyAlignment="1">
      <alignment horizontal="center"/>
    </xf>
    <xf numFmtId="0" fontId="29" fillId="0" borderId="17" xfId="0" applyFont="1" applyFill="1" applyBorder="1" applyAlignment="1">
      <alignment horizontal="center" vertical="center"/>
    </xf>
    <xf numFmtId="9" fontId="29" fillId="0" borderId="4" xfId="1" applyFont="1" applyFill="1" applyBorder="1" applyAlignment="1">
      <alignment horizontal="center" vertical="center"/>
    </xf>
    <xf numFmtId="9" fontId="29" fillId="0" borderId="17" xfId="1" applyFont="1" applyFill="1" applyBorder="1" applyAlignment="1">
      <alignment horizontal="center" vertical="center"/>
    </xf>
    <xf numFmtId="9" fontId="29" fillId="0" borderId="18" xfId="1" applyFont="1" applyFill="1" applyBorder="1" applyAlignment="1">
      <alignment horizontal="center" vertical="center"/>
    </xf>
    <xf numFmtId="9" fontId="29" fillId="22" borderId="4" xfId="1" applyNumberFormat="1" applyFont="1" applyFill="1" applyBorder="1" applyAlignment="1">
      <alignment horizontal="center" vertical="center" wrapText="1"/>
    </xf>
    <xf numFmtId="9" fontId="29" fillId="22" borderId="17" xfId="1" applyNumberFormat="1" applyFont="1" applyFill="1" applyBorder="1" applyAlignment="1">
      <alignment horizontal="center" vertical="center" wrapText="1"/>
    </xf>
    <xf numFmtId="9" fontId="29" fillId="22" borderId="18" xfId="1" applyNumberFormat="1" applyFont="1" applyFill="1" applyBorder="1" applyAlignment="1">
      <alignment horizontal="center" vertical="center" wrapText="1"/>
    </xf>
    <xf numFmtId="0" fontId="35" fillId="4" borderId="33" xfId="0" applyFont="1" applyFill="1" applyBorder="1" applyAlignment="1">
      <alignment horizontal="center"/>
    </xf>
    <xf numFmtId="0" fontId="35" fillId="4" borderId="34" xfId="0" applyFont="1" applyFill="1" applyBorder="1" applyAlignment="1">
      <alignment horizontal="center"/>
    </xf>
    <xf numFmtId="0" fontId="35" fillId="4" borderId="35" xfId="0" applyFont="1" applyFill="1" applyBorder="1" applyAlignment="1">
      <alignment horizontal="center"/>
    </xf>
    <xf numFmtId="0" fontId="35" fillId="2" borderId="33" xfId="0" applyFont="1" applyFill="1" applyBorder="1" applyAlignment="1">
      <alignment horizontal="center"/>
    </xf>
    <xf numFmtId="0" fontId="35" fillId="2" borderId="34" xfId="0" applyFont="1" applyFill="1" applyBorder="1" applyAlignment="1">
      <alignment horizontal="center"/>
    </xf>
    <xf numFmtId="0" fontId="35" fillId="2" borderId="35" xfId="0" applyFont="1" applyFill="1" applyBorder="1" applyAlignment="1">
      <alignment horizontal="center"/>
    </xf>
    <xf numFmtId="9" fontId="29" fillId="0" borderId="17" xfId="1" applyFont="1" applyFill="1" applyBorder="1" applyAlignment="1">
      <alignment horizontal="center" vertical="center" wrapText="1"/>
    </xf>
    <xf numFmtId="42" fontId="29" fillId="0" borderId="17" xfId="1" applyNumberFormat="1" applyFont="1" applyFill="1" applyBorder="1" applyAlignment="1">
      <alignment horizontal="center" vertical="center"/>
    </xf>
    <xf numFmtId="0" fontId="34" fillId="0" borderId="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2" xfId="0" applyFill="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xf>
    <xf numFmtId="0" fontId="0" fillId="3" borderId="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9" fontId="41" fillId="26" borderId="33" xfId="1" applyFont="1" applyFill="1" applyBorder="1" applyAlignment="1">
      <alignment horizontal="center" vertical="center" wrapText="1"/>
    </xf>
    <xf numFmtId="9" fontId="41" fillId="26" borderId="35" xfId="1" applyFont="1" applyFill="1" applyBorder="1" applyAlignment="1">
      <alignment horizontal="center" vertical="center" wrapText="1"/>
    </xf>
    <xf numFmtId="9" fontId="41" fillId="26" borderId="37" xfId="1" applyFont="1" applyFill="1" applyBorder="1" applyAlignment="1">
      <alignment horizontal="center" vertical="center" wrapText="1"/>
    </xf>
    <xf numFmtId="9" fontId="41" fillId="26" borderId="44" xfId="1" applyFont="1" applyFill="1" applyBorder="1" applyAlignment="1">
      <alignment horizontal="center" vertical="center" wrapText="1"/>
    </xf>
    <xf numFmtId="9" fontId="87" fillId="19" borderId="6" xfId="1" applyFont="1" applyFill="1" applyBorder="1" applyAlignment="1">
      <alignment horizontal="center" vertical="center"/>
    </xf>
    <xf numFmtId="9" fontId="87" fillId="19" borderId="8" xfId="1" applyFont="1" applyFill="1" applyBorder="1" applyAlignment="1">
      <alignment horizontal="center" vertical="center"/>
    </xf>
    <xf numFmtId="9" fontId="87" fillId="19" borderId="10" xfId="1" applyFont="1" applyFill="1" applyBorder="1" applyAlignment="1">
      <alignment horizontal="center" vertical="center"/>
    </xf>
    <xf numFmtId="9" fontId="87" fillId="19" borderId="40" xfId="1" applyFont="1" applyFill="1" applyBorder="1" applyAlignment="1">
      <alignment horizontal="center" vertical="center"/>
    </xf>
    <xf numFmtId="9" fontId="87" fillId="19" borderId="71" xfId="1" applyNumberFormat="1" applyFont="1" applyFill="1" applyBorder="1" applyAlignment="1">
      <alignment horizontal="center" vertical="center"/>
    </xf>
    <xf numFmtId="9" fontId="87" fillId="19" borderId="58" xfId="1" applyFont="1" applyFill="1" applyBorder="1" applyAlignment="1">
      <alignment horizontal="center" vertical="center"/>
    </xf>
    <xf numFmtId="9" fontId="87" fillId="19" borderId="58" xfId="1" applyNumberFormat="1" applyFont="1" applyFill="1" applyBorder="1" applyAlignment="1">
      <alignment horizontal="center" vertical="center"/>
    </xf>
    <xf numFmtId="9" fontId="87" fillId="19" borderId="48" xfId="1" applyFont="1" applyFill="1" applyBorder="1" applyAlignment="1">
      <alignment horizontal="center" vertical="center"/>
    </xf>
    <xf numFmtId="9" fontId="87" fillId="19" borderId="35" xfId="1" applyFont="1" applyFill="1" applyBorder="1" applyAlignment="1">
      <alignment horizontal="center" vertical="center"/>
    </xf>
    <xf numFmtId="9" fontId="88" fillId="19" borderId="5" xfId="1" applyFont="1" applyFill="1" applyBorder="1" applyAlignment="1">
      <alignment horizontal="center" vertical="center"/>
    </xf>
    <xf numFmtId="9" fontId="88" fillId="19" borderId="7" xfId="1" applyFont="1" applyFill="1" applyBorder="1" applyAlignment="1">
      <alignment horizontal="center" vertical="center"/>
    </xf>
    <xf numFmtId="9" fontId="88" fillId="19" borderId="9" xfId="1" applyFont="1" applyFill="1" applyBorder="1" applyAlignment="1">
      <alignment horizontal="center" vertical="center"/>
    </xf>
    <xf numFmtId="9" fontId="88" fillId="19" borderId="71" xfId="1" applyNumberFormat="1" applyFont="1" applyFill="1" applyBorder="1" applyAlignment="1">
      <alignment horizontal="center" vertical="center"/>
    </xf>
    <xf numFmtId="9" fontId="88" fillId="19" borderId="58" xfId="1" applyNumberFormat="1" applyFont="1" applyFill="1" applyBorder="1" applyAlignment="1">
      <alignment horizontal="center" vertical="center"/>
    </xf>
    <xf numFmtId="9" fontId="88" fillId="19" borderId="48" xfId="1" applyFont="1" applyFill="1" applyBorder="1" applyAlignment="1">
      <alignment horizontal="center" vertical="center"/>
    </xf>
    <xf numFmtId="0" fontId="7" fillId="0" borderId="73" xfId="0" applyFont="1" applyFill="1" applyBorder="1" applyAlignment="1">
      <alignment horizontal="center" vertical="center" wrapText="1"/>
    </xf>
    <xf numFmtId="9" fontId="41" fillId="26" borderId="38" xfId="1" applyFont="1" applyFill="1" applyBorder="1" applyAlignment="1">
      <alignment horizontal="center" vertical="center" wrapText="1"/>
    </xf>
    <xf numFmtId="9" fontId="41" fillId="26" borderId="66" xfId="1" applyFont="1" applyFill="1" applyBorder="1" applyAlignment="1">
      <alignment horizontal="center" vertical="center" wrapText="1"/>
    </xf>
    <xf numFmtId="9" fontId="41" fillId="26" borderId="65" xfId="1" applyFont="1" applyFill="1" applyBorder="1" applyAlignment="1">
      <alignment horizontal="center" vertical="center" wrapText="1"/>
    </xf>
    <xf numFmtId="9" fontId="41" fillId="26" borderId="23" xfId="1" applyFont="1" applyFill="1" applyBorder="1" applyAlignment="1">
      <alignment horizontal="center" vertical="center" wrapText="1"/>
    </xf>
    <xf numFmtId="9" fontId="41" fillId="26" borderId="0" xfId="1" applyFont="1" applyFill="1" applyBorder="1" applyAlignment="1">
      <alignment horizontal="center" vertical="center" wrapText="1"/>
    </xf>
    <xf numFmtId="9" fontId="88" fillId="19" borderId="56" xfId="1" applyFont="1" applyFill="1" applyBorder="1" applyAlignment="1">
      <alignment horizontal="center" vertical="center"/>
    </xf>
    <xf numFmtId="0" fontId="42" fillId="0" borderId="0" xfId="0" applyFont="1" applyAlignment="1">
      <alignment horizontal="center"/>
    </xf>
    <xf numFmtId="9" fontId="88" fillId="19" borderId="52" xfId="1" applyFont="1" applyFill="1" applyBorder="1" applyAlignment="1">
      <alignment horizontal="center" vertical="center"/>
    </xf>
    <xf numFmtId="9" fontId="88" fillId="19" borderId="53" xfId="1" applyFont="1" applyFill="1" applyBorder="1" applyAlignment="1">
      <alignment horizontal="center" vertical="center"/>
    </xf>
    <xf numFmtId="0" fontId="46" fillId="0" borderId="0" xfId="0" applyFont="1" applyAlignment="1">
      <alignment horizontal="center"/>
    </xf>
    <xf numFmtId="10" fontId="0" fillId="0" borderId="0" xfId="0" applyNumberFormat="1"/>
    <xf numFmtId="9" fontId="41" fillId="26" borderId="74" xfId="1" applyFont="1" applyFill="1" applyBorder="1" applyAlignment="1">
      <alignment horizontal="center" vertical="center" wrapText="1"/>
    </xf>
    <xf numFmtId="9" fontId="44" fillId="8" borderId="8" xfId="1" applyFont="1" applyFill="1" applyBorder="1" applyAlignment="1">
      <alignment horizontal="center" vertical="center"/>
    </xf>
    <xf numFmtId="9" fontId="43" fillId="0" borderId="7" xfId="1" applyFont="1" applyFill="1" applyBorder="1" applyAlignment="1">
      <alignment horizontal="center" vertical="center"/>
    </xf>
    <xf numFmtId="9" fontId="43" fillId="0" borderId="5" xfId="1" applyFont="1" applyFill="1" applyBorder="1" applyAlignment="1">
      <alignment horizontal="center" vertical="center"/>
    </xf>
    <xf numFmtId="9" fontId="43" fillId="0" borderId="9" xfId="1" applyFont="1" applyFill="1" applyBorder="1" applyAlignment="1">
      <alignment horizontal="center" vertical="center"/>
    </xf>
    <xf numFmtId="9" fontId="43" fillId="8" borderId="60" xfId="1" applyFont="1" applyFill="1" applyBorder="1" applyAlignment="1">
      <alignment horizontal="center" vertical="center"/>
    </xf>
    <xf numFmtId="9" fontId="43" fillId="8" borderId="59" xfId="1" applyFont="1" applyFill="1" applyBorder="1" applyAlignment="1">
      <alignment horizontal="center" vertical="center"/>
    </xf>
    <xf numFmtId="9" fontId="43" fillId="8" borderId="61" xfId="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6" xfId="0" applyFont="1" applyFill="1" applyBorder="1" applyAlignment="1">
      <alignment horizontal="center" vertical="center" wrapText="1"/>
    </xf>
    <xf numFmtId="9" fontId="87" fillId="19" borderId="6" xfId="1" applyNumberFormat="1" applyFont="1" applyFill="1" applyBorder="1" applyAlignment="1">
      <alignment horizontal="center" vertical="center"/>
    </xf>
    <xf numFmtId="9" fontId="87" fillId="19" borderId="8" xfId="1" applyNumberFormat="1" applyFont="1" applyFill="1" applyBorder="1" applyAlignment="1">
      <alignment horizontal="center" vertical="center"/>
    </xf>
    <xf numFmtId="9" fontId="87" fillId="19" borderId="60" xfId="1" applyFont="1" applyFill="1" applyBorder="1" applyAlignment="1">
      <alignment horizontal="center" vertical="center"/>
    </xf>
    <xf numFmtId="9" fontId="87" fillId="19" borderId="59" xfId="1" applyFont="1" applyFill="1" applyBorder="1" applyAlignment="1">
      <alignment horizontal="center" vertical="center"/>
    </xf>
    <xf numFmtId="9" fontId="87" fillId="19" borderId="61" xfId="1" applyFont="1" applyFill="1" applyBorder="1" applyAlignment="1">
      <alignment horizontal="center" vertical="center"/>
    </xf>
    <xf numFmtId="9" fontId="87" fillId="19" borderId="76" xfId="1" applyFont="1" applyFill="1" applyBorder="1" applyAlignment="1">
      <alignment horizontal="center" vertical="center"/>
    </xf>
    <xf numFmtId="9" fontId="87" fillId="19" borderId="10" xfId="1" applyNumberFormat="1" applyFont="1" applyFill="1" applyBorder="1" applyAlignment="1">
      <alignment horizontal="center" vertical="center"/>
    </xf>
    <xf numFmtId="9" fontId="87" fillId="19" borderId="40" xfId="1" applyNumberFormat="1" applyFont="1" applyFill="1" applyBorder="1" applyAlignment="1">
      <alignment horizontal="center" vertical="center"/>
    </xf>
    <xf numFmtId="0" fontId="3" fillId="0" borderId="0" xfId="0" applyFont="1" applyBorder="1" applyAlignment="1">
      <alignment horizontal="center"/>
    </xf>
    <xf numFmtId="9" fontId="87" fillId="19" borderId="60" xfId="1" applyNumberFormat="1" applyFont="1" applyFill="1" applyBorder="1" applyAlignment="1">
      <alignment horizontal="center" vertical="center"/>
    </xf>
    <xf numFmtId="9" fontId="87" fillId="19" borderId="59" xfId="1" applyNumberFormat="1" applyFont="1" applyFill="1" applyBorder="1" applyAlignment="1">
      <alignment horizontal="center" vertical="center"/>
    </xf>
    <xf numFmtId="9" fontId="87" fillId="19" borderId="42" xfId="1" applyFont="1" applyFill="1" applyBorder="1" applyAlignment="1">
      <alignment horizontal="center" vertical="center"/>
    </xf>
    <xf numFmtId="9" fontId="87" fillId="19" borderId="73" xfId="1" applyFont="1" applyFill="1" applyBorder="1" applyAlignment="1">
      <alignment horizontal="center" vertical="center"/>
    </xf>
    <xf numFmtId="9" fontId="43" fillId="19" borderId="41" xfId="1" applyFont="1" applyFill="1" applyBorder="1" applyAlignment="1">
      <alignment horizontal="center" vertical="center"/>
    </xf>
    <xf numFmtId="0" fontId="7" fillId="0" borderId="75" xfId="0" applyFont="1" applyFill="1" applyBorder="1" applyAlignment="1">
      <alignment horizontal="center" vertical="center" wrapText="1"/>
    </xf>
    <xf numFmtId="9" fontId="87" fillId="19" borderId="70" xfId="1" applyFont="1" applyFill="1" applyBorder="1" applyAlignment="1">
      <alignment horizontal="center" vertical="center"/>
    </xf>
    <xf numFmtId="9" fontId="43" fillId="19" borderId="69" xfId="1" applyFont="1" applyFill="1" applyBorder="1" applyAlignment="1">
      <alignment horizontal="center" vertical="center"/>
    </xf>
    <xf numFmtId="9" fontId="43" fillId="19" borderId="50" xfId="1" applyFont="1" applyFill="1" applyBorder="1" applyAlignment="1">
      <alignment horizontal="center" vertical="center"/>
    </xf>
    <xf numFmtId="9" fontId="43" fillId="19" borderId="72" xfId="1" applyFont="1" applyFill="1" applyBorder="1" applyAlignment="1">
      <alignment horizontal="center" vertical="center"/>
    </xf>
    <xf numFmtId="9" fontId="42" fillId="0" borderId="0" xfId="0" applyNumberFormat="1" applyFont="1" applyAlignment="1">
      <alignment horizontal="center"/>
    </xf>
    <xf numFmtId="9" fontId="43" fillId="19" borderId="35" xfId="1" applyNumberFormat="1" applyFont="1" applyFill="1" applyBorder="1" applyAlignment="1">
      <alignment horizontal="center" vertical="center"/>
    </xf>
    <xf numFmtId="42" fontId="84" fillId="0" borderId="1" xfId="0" applyNumberFormat="1" applyFont="1" applyFill="1" applyBorder="1" applyAlignment="1">
      <alignment vertical="center"/>
    </xf>
    <xf numFmtId="9" fontId="53" fillId="19" borderId="41" xfId="1" applyNumberFormat="1" applyFont="1" applyFill="1" applyBorder="1" applyAlignment="1">
      <alignment horizontal="right" vertical="center"/>
    </xf>
    <xf numFmtId="9" fontId="53" fillId="19" borderId="11" xfId="1" applyNumberFormat="1" applyFont="1" applyFill="1" applyBorder="1" applyAlignment="1">
      <alignment horizontal="right" vertical="center"/>
    </xf>
  </cellXfs>
  <cellStyles count="14">
    <cellStyle name="HeaderStyle" xfId="4"/>
    <cellStyle name="Hipervínculo" xfId="13" builtinId="8"/>
    <cellStyle name="Hipervínculo 2" xfId="11"/>
    <cellStyle name="MainTitle" xfId="6"/>
    <cellStyle name="Millares [0]" xfId="3" builtinId="6"/>
    <cellStyle name="Millares [0] 2" xfId="10"/>
    <cellStyle name="Millares 2" xfId="12"/>
    <cellStyle name="Moneda [0]" xfId="5" builtinId="7"/>
    <cellStyle name="Moneda [0] 2" xfId="9"/>
    <cellStyle name="Moneda 2" xfId="8"/>
    <cellStyle name="Normal" xfId="0" builtinId="0"/>
    <cellStyle name="Normal 2" xfId="2"/>
    <cellStyle name="Normal 3" xfId="7"/>
    <cellStyle name="Porcentaje" xfId="1" builtinId="5"/>
  </cellStyles>
  <dxfs count="9802">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rgb="FF00B050"/>
        </patternFill>
      </fill>
    </dxf>
    <dxf>
      <fill>
        <patternFill>
          <bgColor theme="1" tint="0.499984740745262"/>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theme="9"/>
        </patternFill>
      </fill>
    </dxf>
    <dxf>
      <fill>
        <patternFill>
          <bgColor theme="6"/>
        </patternFill>
      </fill>
    </dxf>
    <dxf>
      <font>
        <color rgb="FF9C0006"/>
      </font>
      <fill>
        <patternFill>
          <bgColor theme="5"/>
        </patternFill>
      </fill>
    </dxf>
    <dxf>
      <font>
        <color rgb="FF9C0006"/>
      </font>
      <fill>
        <patternFill>
          <bgColor rgb="FFFFFF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auto="1"/>
      </font>
      <numFmt numFmtId="13" formatCode="0%"/>
      <fill>
        <patternFill>
          <bgColor theme="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auto="1"/>
      </font>
      <numFmt numFmtId="13" formatCode="0%"/>
      <fill>
        <patternFill>
          <bgColor theme="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ont>
        <color theme="4"/>
      </font>
      <fill>
        <patternFill>
          <bgColor theme="5" tint="0.59996337778862885"/>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
      <fill>
        <patternFill>
          <bgColor rgb="FFFF0000"/>
        </patternFill>
      </fill>
    </dxf>
    <dxf>
      <fill>
        <patternFill>
          <bgColor rgb="FFFFFF00"/>
        </patternFill>
      </fill>
    </dxf>
    <dxf>
      <fill>
        <patternFill>
          <bgColor theme="9"/>
        </patternFill>
      </fill>
    </dxf>
    <dxf>
      <fill>
        <patternFill>
          <bgColor theme="2" tint="-0.499984740745262"/>
        </patternFill>
      </fill>
    </dxf>
    <dxf>
      <font>
        <color theme="0" tint="-0.499984740745262"/>
      </font>
      <numFmt numFmtId="30" formatCode="@"/>
      <fill>
        <patternFill>
          <bgColor theme="0"/>
        </patternFill>
      </fill>
    </dxf>
  </dxfs>
  <tableStyles count="0" defaultTableStyle="TableStyleMedium2" defaultPivotStyle="PivotStyleLight16"/>
  <colors>
    <mruColors>
      <color rgb="FF00ACCA"/>
      <color rgb="FF175099"/>
      <color rgb="FF33569D"/>
      <color rgb="FF1519AB"/>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7.gif"/><Relationship Id="rId13" Type="http://schemas.openxmlformats.org/officeDocument/2006/relationships/image" Target="../media/image9.png"/><Relationship Id="rId3" Type="http://schemas.openxmlformats.org/officeDocument/2006/relationships/hyperlink" Target="https://es.wikipedia.org/wiki/Perspectiva_c%C3%B3nica" TargetMode="External"/><Relationship Id="rId7" Type="http://schemas.openxmlformats.org/officeDocument/2006/relationships/hyperlink" Target="#'Cumplimiento Dependencias'!A1"/><Relationship Id="rId12" Type="http://schemas.openxmlformats.org/officeDocument/2006/relationships/hyperlink" Target="http://nancynwilson.com/building-an-online-business-2/" TargetMode="External"/><Relationship Id="rId2" Type="http://schemas.openxmlformats.org/officeDocument/2006/relationships/image" Target="../media/image5.png"/><Relationship Id="rId1" Type="http://schemas.openxmlformats.org/officeDocument/2006/relationships/hyperlink" Target="#'Cumplimiento perspectivas conso'!A1"/><Relationship Id="rId6" Type="http://schemas.openxmlformats.org/officeDocument/2006/relationships/hyperlink" Target="http://www.gazetadebeirute.com/2013/05/qual-o-seu-objetivo.html" TargetMode="External"/><Relationship Id="rId11" Type="http://schemas.openxmlformats.org/officeDocument/2006/relationships/image" Target="../media/image8.jpeg"/><Relationship Id="rId5" Type="http://schemas.openxmlformats.org/officeDocument/2006/relationships/image" Target="../media/image6.gif"/><Relationship Id="rId15" Type="http://schemas.openxmlformats.org/officeDocument/2006/relationships/image" Target="../media/image11.png"/><Relationship Id="rId10" Type="http://schemas.openxmlformats.org/officeDocument/2006/relationships/hyperlink" Target="#'Cuadro Mando Integral Detallado'!A1"/><Relationship Id="rId4" Type="http://schemas.openxmlformats.org/officeDocument/2006/relationships/hyperlink" Target="#'Cumplimiento de objetivos'!A1"/><Relationship Id="rId9" Type="http://schemas.openxmlformats.org/officeDocument/2006/relationships/hyperlink" Target="http://confesionesdemau.blogspot.com/2013/08/clases-de-personas.html" TargetMode="External"/><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3.emf"/><Relationship Id="rId4"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476250</xdr:colOff>
      <xdr:row>0</xdr:row>
      <xdr:rowOff>76200</xdr:rowOff>
    </xdr:from>
    <xdr:to>
      <xdr:col>1</xdr:col>
      <xdr:colOff>1000125</xdr:colOff>
      <xdr:row>3</xdr:row>
      <xdr:rowOff>123825</xdr:rowOff>
    </xdr:to>
    <xdr:pic>
      <xdr:nvPicPr>
        <xdr:cNvPr id="2" name="Imagen 1" descr="image001 (1)">
          <a:extLst>
            <a:ext uri="{FF2B5EF4-FFF2-40B4-BE49-F238E27FC236}">
              <a16:creationId xmlns:a16="http://schemas.microsoft.com/office/drawing/2014/main" id="{50B77DBB-3ED8-4701-B926-0CA682BFE2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476250" y="76200"/>
          <a:ext cx="1285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1009649</xdr:colOff>
      <xdr:row>0</xdr:row>
      <xdr:rowOff>85725</xdr:rowOff>
    </xdr:from>
    <xdr:to>
      <xdr:col>2</xdr:col>
      <xdr:colOff>504824</xdr:colOff>
      <xdr:row>3</xdr:row>
      <xdr:rowOff>133350</xdr:rowOff>
    </xdr:to>
    <xdr:pic>
      <xdr:nvPicPr>
        <xdr:cNvPr id="3" name="Imagen 1" descr="image001 (1)">
          <a:extLst>
            <a:ext uri="{FF2B5EF4-FFF2-40B4-BE49-F238E27FC236}">
              <a16:creationId xmlns:a16="http://schemas.microsoft.com/office/drawing/2014/main" id="{7F071E6B-BD39-4E06-9A59-DCD0299FB7C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12"/>
        <a:stretch/>
      </xdr:blipFill>
      <xdr:spPr bwMode="auto">
        <a:xfrm>
          <a:off x="1771649" y="85725"/>
          <a:ext cx="18669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230716</xdr:colOff>
      <xdr:row>0</xdr:row>
      <xdr:rowOff>0</xdr:rowOff>
    </xdr:from>
    <xdr:to>
      <xdr:col>1</xdr:col>
      <xdr:colOff>1365250</xdr:colOff>
      <xdr:row>2</xdr:row>
      <xdr:rowOff>264583</xdr:rowOff>
    </xdr:to>
    <xdr:pic>
      <xdr:nvPicPr>
        <xdr:cNvPr id="3" name="Imagen 2">
          <a:extLst>
            <a:ext uri="{FF2B5EF4-FFF2-40B4-BE49-F238E27FC236}">
              <a16:creationId xmlns:a16="http://schemas.microsoft.com/office/drawing/2014/main" id="{2E1BF261-DB3C-45A2-8518-062B61C879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716" y="0"/>
          <a:ext cx="199178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260350</xdr:colOff>
      <xdr:row>0</xdr:row>
      <xdr:rowOff>114298</xdr:rowOff>
    </xdr:from>
    <xdr:to>
      <xdr:col>68</xdr:col>
      <xdr:colOff>317499</xdr:colOff>
      <xdr:row>2</xdr:row>
      <xdr:rowOff>76199</xdr:rowOff>
    </xdr:to>
    <xdr:pic>
      <xdr:nvPicPr>
        <xdr:cNvPr id="4" name="Imagen 3" descr="Image result for LOGO MINSALUD">
          <a:extLst>
            <a:ext uri="{FF2B5EF4-FFF2-40B4-BE49-F238E27FC236}">
              <a16:creationId xmlns:a16="http://schemas.microsoft.com/office/drawing/2014/main" id="{AFF93AD1-46DC-4C46-96F8-2163A16CA4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25600" y="114298"/>
          <a:ext cx="2015066" cy="554568"/>
        </a:xfrm>
        <a:prstGeom prst="rect">
          <a:avLst/>
        </a:prstGeom>
        <a:noFill/>
        <a:ln>
          <a:noFill/>
        </a:ln>
      </xdr:spPr>
    </xdr:pic>
    <xdr:clientData/>
  </xdr:twoCellAnchor>
  <xdr:twoCellAnchor editAs="oneCell">
    <xdr:from>
      <xdr:col>68</xdr:col>
      <xdr:colOff>652992</xdr:colOff>
      <xdr:row>0</xdr:row>
      <xdr:rowOff>112976</xdr:rowOff>
    </xdr:from>
    <xdr:to>
      <xdr:col>70</xdr:col>
      <xdr:colOff>808567</xdr:colOff>
      <xdr:row>2</xdr:row>
      <xdr:rowOff>86783</xdr:rowOff>
    </xdr:to>
    <xdr:pic>
      <xdr:nvPicPr>
        <xdr:cNvPr id="5" name="Imagen 4" descr="Image result for LOGO GOBIERNO DE COLOMBIA">
          <a:extLst>
            <a:ext uri="{FF2B5EF4-FFF2-40B4-BE49-F238E27FC236}">
              <a16:creationId xmlns:a16="http://schemas.microsoft.com/office/drawing/2014/main" id="{5FED1BC7-6A3B-43AF-A5D4-D37372F0FF1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876159" y="112976"/>
          <a:ext cx="2113491" cy="5664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xdr:row>
      <xdr:rowOff>76201</xdr:rowOff>
    </xdr:from>
    <xdr:to>
      <xdr:col>1</xdr:col>
      <xdr:colOff>455791</xdr:colOff>
      <xdr:row>9</xdr:row>
      <xdr:rowOff>85725</xdr:rowOff>
    </xdr:to>
    <xdr:pic>
      <xdr:nvPicPr>
        <xdr:cNvPr id="3" name="Imagen 2">
          <a:hlinkClick xmlns:r="http://schemas.openxmlformats.org/officeDocument/2006/relationships" r:id="rId1"/>
          <a:extLst>
            <a:ext uri="{FF2B5EF4-FFF2-40B4-BE49-F238E27FC236}">
              <a16:creationId xmlns:a16="http://schemas.microsoft.com/office/drawing/2014/main" id="{AC8C6BAF-174F-48E8-A8B3-02EA11BE7E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837473B0-CC2E-450A-ABE3-18F120FF3D39}">
              <a1611:picAttrSrcUrl xmlns:a1611="http://schemas.microsoft.com/office/drawing/2016/11/main" r:id="rId3"/>
            </a:ext>
          </a:extLst>
        </a:blip>
        <a:stretch>
          <a:fillRect/>
        </a:stretch>
      </xdr:blipFill>
      <xdr:spPr>
        <a:xfrm>
          <a:off x="114300" y="457201"/>
          <a:ext cx="1103491" cy="771524"/>
        </a:xfrm>
        <a:prstGeom prst="rect">
          <a:avLst/>
        </a:prstGeom>
      </xdr:spPr>
    </xdr:pic>
    <xdr:clientData/>
  </xdr:twoCellAnchor>
  <xdr:twoCellAnchor editAs="oneCell">
    <xdr:from>
      <xdr:col>0</xdr:col>
      <xdr:colOff>28576</xdr:colOff>
      <xdr:row>10</xdr:row>
      <xdr:rowOff>66676</xdr:rowOff>
    </xdr:from>
    <xdr:to>
      <xdr:col>1</xdr:col>
      <xdr:colOff>392608</xdr:colOff>
      <xdr:row>15</xdr:row>
      <xdr:rowOff>38100</xdr:rowOff>
    </xdr:to>
    <xdr:pic>
      <xdr:nvPicPr>
        <xdr:cNvPr id="6" name="Imagen 5">
          <a:hlinkClick xmlns:r="http://schemas.openxmlformats.org/officeDocument/2006/relationships" r:id="rId4"/>
          <a:extLst>
            <a:ext uri="{FF2B5EF4-FFF2-40B4-BE49-F238E27FC236}">
              <a16:creationId xmlns:a16="http://schemas.microsoft.com/office/drawing/2014/main" id="{A7B7EBD0-D844-4A86-84BD-F18D901643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837473B0-CC2E-450A-ABE3-18F120FF3D39}">
              <a1611:picAttrSrcUrl xmlns:a1611="http://schemas.microsoft.com/office/drawing/2016/11/main" r:id="rId6"/>
            </a:ext>
          </a:extLst>
        </a:blip>
        <a:stretch>
          <a:fillRect/>
        </a:stretch>
      </xdr:blipFill>
      <xdr:spPr>
        <a:xfrm>
          <a:off x="28576" y="1400176"/>
          <a:ext cx="1126032" cy="923924"/>
        </a:xfrm>
        <a:prstGeom prst="rect">
          <a:avLst/>
        </a:prstGeom>
      </xdr:spPr>
    </xdr:pic>
    <xdr:clientData/>
  </xdr:twoCellAnchor>
  <xdr:twoCellAnchor editAs="oneCell">
    <xdr:from>
      <xdr:col>0</xdr:col>
      <xdr:colOff>0</xdr:colOff>
      <xdr:row>16</xdr:row>
      <xdr:rowOff>49529</xdr:rowOff>
    </xdr:from>
    <xdr:to>
      <xdr:col>1</xdr:col>
      <xdr:colOff>561975</xdr:colOff>
      <xdr:row>20</xdr:row>
      <xdr:rowOff>81914</xdr:rowOff>
    </xdr:to>
    <xdr:pic>
      <xdr:nvPicPr>
        <xdr:cNvPr id="15" name="Imagen 14">
          <a:hlinkClick xmlns:r="http://schemas.openxmlformats.org/officeDocument/2006/relationships" r:id="rId7"/>
          <a:extLst>
            <a:ext uri="{FF2B5EF4-FFF2-40B4-BE49-F238E27FC236}">
              <a16:creationId xmlns:a16="http://schemas.microsoft.com/office/drawing/2014/main" id="{A5F8583F-3E01-45E7-9AAF-07FF599208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837473B0-CC2E-450A-ABE3-18F120FF3D39}">
              <a1611:picAttrSrcUrl xmlns:a1611="http://schemas.microsoft.com/office/drawing/2016/11/main" r:id="rId9"/>
            </a:ext>
          </a:extLst>
        </a:blip>
        <a:stretch>
          <a:fillRect/>
        </a:stretch>
      </xdr:blipFill>
      <xdr:spPr>
        <a:xfrm>
          <a:off x="0" y="3859529"/>
          <a:ext cx="1323975" cy="794385"/>
        </a:xfrm>
        <a:prstGeom prst="rect">
          <a:avLst/>
        </a:prstGeom>
      </xdr:spPr>
    </xdr:pic>
    <xdr:clientData/>
  </xdr:twoCellAnchor>
  <xdr:twoCellAnchor editAs="oneCell">
    <xdr:from>
      <xdr:col>8</xdr:col>
      <xdr:colOff>514350</xdr:colOff>
      <xdr:row>4</xdr:row>
      <xdr:rowOff>104775</xdr:rowOff>
    </xdr:from>
    <xdr:to>
      <xdr:col>10</xdr:col>
      <xdr:colOff>153789</xdr:colOff>
      <xdr:row>9</xdr:row>
      <xdr:rowOff>103250</xdr:rowOff>
    </xdr:to>
    <xdr:pic>
      <xdr:nvPicPr>
        <xdr:cNvPr id="20" name="Imagen 19">
          <a:hlinkClick xmlns:r="http://schemas.openxmlformats.org/officeDocument/2006/relationships" r:id="rId10"/>
          <a:extLst>
            <a:ext uri="{FF2B5EF4-FFF2-40B4-BE49-F238E27FC236}">
              <a16:creationId xmlns:a16="http://schemas.microsoft.com/office/drawing/2014/main" id="{ADB0B9DE-241D-46E4-A26B-3450CBF6D9A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837473B0-CC2E-450A-ABE3-18F120FF3D39}">
              <a1611:picAttrSrcUrl xmlns:a1611="http://schemas.microsoft.com/office/drawing/2016/11/main" r:id="rId12"/>
            </a:ext>
          </a:extLst>
        </a:blip>
        <a:stretch>
          <a:fillRect/>
        </a:stretch>
      </xdr:blipFill>
      <xdr:spPr>
        <a:xfrm>
          <a:off x="6610350" y="885825"/>
          <a:ext cx="1163439" cy="950975"/>
        </a:xfrm>
        <a:prstGeom prst="rect">
          <a:avLst/>
        </a:prstGeom>
      </xdr:spPr>
    </xdr:pic>
    <xdr:clientData/>
  </xdr:twoCellAnchor>
  <xdr:twoCellAnchor editAs="oneCell">
    <xdr:from>
      <xdr:col>0</xdr:col>
      <xdr:colOff>0</xdr:colOff>
      <xdr:row>1</xdr:row>
      <xdr:rowOff>9525</xdr:rowOff>
    </xdr:from>
    <xdr:to>
      <xdr:col>1</xdr:col>
      <xdr:colOff>685800</xdr:colOff>
      <xdr:row>3</xdr:row>
      <xdr:rowOff>95250</xdr:rowOff>
    </xdr:to>
    <xdr:pic>
      <xdr:nvPicPr>
        <xdr:cNvPr id="10" name="Imagen 9">
          <a:extLst>
            <a:ext uri="{FF2B5EF4-FFF2-40B4-BE49-F238E27FC236}">
              <a16:creationId xmlns:a16="http://schemas.microsoft.com/office/drawing/2014/main" id="{D48BAAFB-3823-4F57-A982-4010DD1C1B14}"/>
            </a:ext>
          </a:extLst>
        </xdr:cNvPr>
        <xdr:cNvPicPr/>
      </xdr:nvPicPr>
      <xdr:blipFill>
        <a:blip xmlns:r="http://schemas.openxmlformats.org/officeDocument/2006/relationships" r:embed="rId13"/>
        <a:stretch>
          <a:fillRect/>
        </a:stretch>
      </xdr:blipFill>
      <xdr:spPr>
        <a:xfrm>
          <a:off x="0" y="209550"/>
          <a:ext cx="1447800" cy="504825"/>
        </a:xfrm>
        <a:prstGeom prst="rect">
          <a:avLst/>
        </a:prstGeom>
      </xdr:spPr>
    </xdr:pic>
    <xdr:clientData/>
  </xdr:twoCellAnchor>
  <xdr:twoCellAnchor editAs="oneCell">
    <xdr:from>
      <xdr:col>8</xdr:col>
      <xdr:colOff>142875</xdr:colOff>
      <xdr:row>2</xdr:row>
      <xdr:rowOff>7142</xdr:rowOff>
    </xdr:from>
    <xdr:to>
      <xdr:col>9</xdr:col>
      <xdr:colOff>721520</xdr:colOff>
      <xdr:row>2</xdr:row>
      <xdr:rowOff>180975</xdr:rowOff>
    </xdr:to>
    <xdr:pic>
      <xdr:nvPicPr>
        <xdr:cNvPr id="11" name="Imagen 10" descr="Image result for LOGO MINSALUD">
          <a:extLst>
            <a:ext uri="{FF2B5EF4-FFF2-40B4-BE49-F238E27FC236}">
              <a16:creationId xmlns:a16="http://schemas.microsoft.com/office/drawing/2014/main" id="{9E09FA5E-3924-4178-BE96-4CB8ABBFF26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238875" y="397667"/>
          <a:ext cx="1340645" cy="173833"/>
        </a:xfrm>
        <a:prstGeom prst="rect">
          <a:avLst/>
        </a:prstGeom>
        <a:noFill/>
        <a:ln>
          <a:noFill/>
        </a:ln>
      </xdr:spPr>
    </xdr:pic>
    <xdr:clientData/>
  </xdr:twoCellAnchor>
  <xdr:twoCellAnchor editAs="oneCell">
    <xdr:from>
      <xdr:col>10</xdr:col>
      <xdr:colOff>88106</xdr:colOff>
      <xdr:row>2</xdr:row>
      <xdr:rowOff>2381</xdr:rowOff>
    </xdr:from>
    <xdr:to>
      <xdr:col>11</xdr:col>
      <xdr:colOff>650081</xdr:colOff>
      <xdr:row>3</xdr:row>
      <xdr:rowOff>1587</xdr:rowOff>
    </xdr:to>
    <xdr:pic>
      <xdr:nvPicPr>
        <xdr:cNvPr id="12" name="Imagen 11" descr="Image result for LOGO GOBIERNO DE COLOMBIA">
          <a:extLst>
            <a:ext uri="{FF2B5EF4-FFF2-40B4-BE49-F238E27FC236}">
              <a16:creationId xmlns:a16="http://schemas.microsoft.com/office/drawing/2014/main" id="{2D5CD2ED-EEF8-4345-95FD-0C3C841B7C0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08106" y="392906"/>
          <a:ext cx="1323975" cy="1897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937532</xdr:colOff>
      <xdr:row>0</xdr:row>
      <xdr:rowOff>0</xdr:rowOff>
    </xdr:from>
    <xdr:to>
      <xdr:col>2</xdr:col>
      <xdr:colOff>1279071</xdr:colOff>
      <xdr:row>3</xdr:row>
      <xdr:rowOff>102918</xdr:rowOff>
    </xdr:to>
    <xdr:pic>
      <xdr:nvPicPr>
        <xdr:cNvPr id="3" name="Imagen 2">
          <a:extLst>
            <a:ext uri="{FF2B5EF4-FFF2-40B4-BE49-F238E27FC236}">
              <a16:creationId xmlns:a16="http://schemas.microsoft.com/office/drawing/2014/main" id="{6F5DCEF8-BD0C-4B63-BBCB-B7C0C3EE27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307" y="0"/>
          <a:ext cx="1827439" cy="683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360963</xdr:colOff>
      <xdr:row>0</xdr:row>
      <xdr:rowOff>101928</xdr:rowOff>
    </xdr:from>
    <xdr:to>
      <xdr:col>19</xdr:col>
      <xdr:colOff>151411</xdr:colOff>
      <xdr:row>2</xdr:row>
      <xdr:rowOff>109598</xdr:rowOff>
    </xdr:to>
    <xdr:pic>
      <xdr:nvPicPr>
        <xdr:cNvPr id="4" name="Imagen 3" descr="Image result for LOGO MINSALUD">
          <a:extLst>
            <a:ext uri="{FF2B5EF4-FFF2-40B4-BE49-F238E27FC236}">
              <a16:creationId xmlns:a16="http://schemas.microsoft.com/office/drawing/2014/main" id="{D2ECCA17-4B78-4A92-B4D0-C5D8860A69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32190" y="101928"/>
          <a:ext cx="2041812" cy="544534"/>
        </a:xfrm>
        <a:prstGeom prst="rect">
          <a:avLst/>
        </a:prstGeom>
        <a:noFill/>
        <a:ln>
          <a:noFill/>
        </a:ln>
      </xdr:spPr>
    </xdr:pic>
    <xdr:clientData/>
  </xdr:twoCellAnchor>
  <xdr:twoCellAnchor editAs="oneCell">
    <xdr:from>
      <xdr:col>19</xdr:col>
      <xdr:colOff>541315</xdr:colOff>
      <xdr:row>0</xdr:row>
      <xdr:rowOff>107340</xdr:rowOff>
    </xdr:from>
    <xdr:to>
      <xdr:col>21</xdr:col>
      <xdr:colOff>729094</xdr:colOff>
      <xdr:row>2</xdr:row>
      <xdr:rowOff>126916</xdr:rowOff>
    </xdr:to>
    <xdr:pic>
      <xdr:nvPicPr>
        <xdr:cNvPr id="5" name="Imagen 4" descr="Image result for LOGO GOBIERNO DE COLOMBIA">
          <a:extLst>
            <a:ext uri="{FF2B5EF4-FFF2-40B4-BE49-F238E27FC236}">
              <a16:creationId xmlns:a16="http://schemas.microsoft.com/office/drawing/2014/main" id="{59A4BC7C-672A-4AD4-83D8-70086058155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963906" y="107340"/>
          <a:ext cx="2110097" cy="55644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1651907</xdr:colOff>
      <xdr:row>0</xdr:row>
      <xdr:rowOff>0</xdr:rowOff>
    </xdr:from>
    <xdr:to>
      <xdr:col>0</xdr:col>
      <xdr:colOff>2809874</xdr:colOff>
      <xdr:row>2</xdr:row>
      <xdr:rowOff>171450</xdr:rowOff>
    </xdr:to>
    <xdr:pic>
      <xdr:nvPicPr>
        <xdr:cNvPr id="3" name="Imagen 2">
          <a:extLst>
            <a:ext uri="{FF2B5EF4-FFF2-40B4-BE49-F238E27FC236}">
              <a16:creationId xmlns:a16="http://schemas.microsoft.com/office/drawing/2014/main" id="{E7E82635-D0EE-432C-B44F-90E9D6B1AF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907"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114299</xdr:colOff>
      <xdr:row>0</xdr:row>
      <xdr:rowOff>152401</xdr:rowOff>
    </xdr:from>
    <xdr:to>
      <xdr:col>17</xdr:col>
      <xdr:colOff>1409700</xdr:colOff>
      <xdr:row>2</xdr:row>
      <xdr:rowOff>38100</xdr:rowOff>
    </xdr:to>
    <xdr:pic>
      <xdr:nvPicPr>
        <xdr:cNvPr id="4" name="Imagen 3" descr="Image result for LOGO MINSALUD">
          <a:extLst>
            <a:ext uri="{FF2B5EF4-FFF2-40B4-BE49-F238E27FC236}">
              <a16:creationId xmlns:a16="http://schemas.microsoft.com/office/drawing/2014/main" id="{954B97C1-8BC1-40C4-973A-2C4E74C281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35224" y="152401"/>
          <a:ext cx="1295401" cy="266699"/>
        </a:xfrm>
        <a:prstGeom prst="rect">
          <a:avLst/>
        </a:prstGeom>
        <a:noFill/>
        <a:ln>
          <a:noFill/>
        </a:ln>
      </xdr:spPr>
    </xdr:pic>
    <xdr:clientData/>
  </xdr:twoCellAnchor>
  <xdr:twoCellAnchor editAs="oneCell">
    <xdr:from>
      <xdr:col>19</xdr:col>
      <xdr:colOff>28575</xdr:colOff>
      <xdr:row>0</xdr:row>
      <xdr:rowOff>154098</xdr:rowOff>
    </xdr:from>
    <xdr:to>
      <xdr:col>20</xdr:col>
      <xdr:colOff>66675</xdr:colOff>
      <xdr:row>2</xdr:row>
      <xdr:rowOff>28575</xdr:rowOff>
    </xdr:to>
    <xdr:pic>
      <xdr:nvPicPr>
        <xdr:cNvPr id="5" name="Imagen 4" descr="Image result for LOGO GOBIERNO DE COLOMBIA">
          <a:extLst>
            <a:ext uri="{FF2B5EF4-FFF2-40B4-BE49-F238E27FC236}">
              <a16:creationId xmlns:a16="http://schemas.microsoft.com/office/drawing/2014/main" id="{F26CB1B0-8577-4808-B32D-9B4929FE969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11600" y="154098"/>
          <a:ext cx="1485900" cy="255477"/>
        </a:xfrm>
        <a:prstGeom prst="rect">
          <a:avLst/>
        </a:prstGeom>
        <a:noFill/>
        <a:ln>
          <a:noFill/>
        </a:ln>
      </xdr:spPr>
    </xdr:pic>
    <xdr:clientData/>
  </xdr:twoCellAnchor>
  <xdr:twoCellAnchor editAs="oneCell">
    <xdr:from>
      <xdr:col>1</xdr:col>
      <xdr:colOff>85726</xdr:colOff>
      <xdr:row>12</xdr:row>
      <xdr:rowOff>114300</xdr:rowOff>
    </xdr:from>
    <xdr:to>
      <xdr:col>6</xdr:col>
      <xdr:colOff>152400</xdr:colOff>
      <xdr:row>23</xdr:row>
      <xdr:rowOff>24113</xdr:rowOff>
    </xdr:to>
    <xdr:pic>
      <xdr:nvPicPr>
        <xdr:cNvPr id="8" name="Imagen 7">
          <a:extLst>
            <a:ext uri="{FF2B5EF4-FFF2-40B4-BE49-F238E27FC236}">
              <a16:creationId xmlns:a16="http://schemas.microsoft.com/office/drawing/2014/main" id="{84D4BFD6-A584-4BAA-A3FE-76D10150CA5E}"/>
            </a:ext>
          </a:extLst>
        </xdr:cNvPr>
        <xdr:cNvPicPr>
          <a:picLocks noChangeAspect="1"/>
        </xdr:cNvPicPr>
      </xdr:nvPicPr>
      <xdr:blipFill>
        <a:blip xmlns:r="http://schemas.openxmlformats.org/officeDocument/2006/relationships" r:embed="rId4"/>
        <a:stretch>
          <a:fillRect/>
        </a:stretch>
      </xdr:blipFill>
      <xdr:spPr>
        <a:xfrm>
          <a:off x="4467226" y="3314700"/>
          <a:ext cx="3552824" cy="2005313"/>
        </a:xfrm>
        <a:prstGeom prst="rect">
          <a:avLst/>
        </a:prstGeom>
      </xdr:spPr>
    </xdr:pic>
    <xdr:clientData/>
  </xdr:twoCellAnchor>
  <xdr:twoCellAnchor editAs="oneCell">
    <xdr:from>
      <xdr:col>7</xdr:col>
      <xdr:colOff>9525</xdr:colOff>
      <xdr:row>12</xdr:row>
      <xdr:rowOff>114300</xdr:rowOff>
    </xdr:from>
    <xdr:to>
      <xdr:col>11</xdr:col>
      <xdr:colOff>123825</xdr:colOff>
      <xdr:row>23</xdr:row>
      <xdr:rowOff>24113</xdr:rowOff>
    </xdr:to>
    <xdr:pic>
      <xdr:nvPicPr>
        <xdr:cNvPr id="9" name="Imagen 8">
          <a:extLst>
            <a:ext uri="{FF2B5EF4-FFF2-40B4-BE49-F238E27FC236}">
              <a16:creationId xmlns:a16="http://schemas.microsoft.com/office/drawing/2014/main" id="{8B92E799-BC34-4A25-8486-CD1EC7EE7638}"/>
            </a:ext>
          </a:extLst>
        </xdr:cNvPr>
        <xdr:cNvPicPr>
          <a:picLocks noChangeAspect="1"/>
        </xdr:cNvPicPr>
      </xdr:nvPicPr>
      <xdr:blipFill>
        <a:blip xmlns:r="http://schemas.openxmlformats.org/officeDocument/2006/relationships" r:embed="rId5"/>
        <a:stretch>
          <a:fillRect/>
        </a:stretch>
      </xdr:blipFill>
      <xdr:spPr>
        <a:xfrm>
          <a:off x="8058150" y="3314700"/>
          <a:ext cx="3448050" cy="20053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3" name="Imagen 2">
          <a:extLst>
            <a:ext uri="{FF2B5EF4-FFF2-40B4-BE49-F238E27FC236}">
              <a16:creationId xmlns:a16="http://schemas.microsoft.com/office/drawing/2014/main" id="{4B5CA058-ACE8-44AC-A365-0414A72DE0B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142874</xdr:colOff>
      <xdr:row>0</xdr:row>
      <xdr:rowOff>171451</xdr:rowOff>
    </xdr:from>
    <xdr:ext cx="1438275" cy="257174"/>
    <xdr:pic>
      <xdr:nvPicPr>
        <xdr:cNvPr id="4" name="Imagen 3" descr="Image result for LOGO MINSALUD">
          <a:extLst>
            <a:ext uri="{FF2B5EF4-FFF2-40B4-BE49-F238E27FC236}">
              <a16:creationId xmlns:a16="http://schemas.microsoft.com/office/drawing/2014/main" id="{D1DE6CF6-C31A-4F3B-A4B0-25058804EF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624" y="171451"/>
          <a:ext cx="1438275" cy="257174"/>
        </a:xfrm>
        <a:prstGeom prst="rect">
          <a:avLst/>
        </a:prstGeom>
        <a:noFill/>
        <a:ln>
          <a:noFill/>
        </a:ln>
      </xdr:spPr>
    </xdr:pic>
    <xdr:clientData/>
  </xdr:oneCellAnchor>
  <xdr:oneCellAnchor>
    <xdr:from>
      <xdr:col>19</xdr:col>
      <xdr:colOff>161925</xdr:colOff>
      <xdr:row>0</xdr:row>
      <xdr:rowOff>163623</xdr:rowOff>
    </xdr:from>
    <xdr:ext cx="1362075" cy="265002"/>
    <xdr:pic>
      <xdr:nvPicPr>
        <xdr:cNvPr id="5" name="Imagen 4" descr="Image result for LOGO GOBIERNO DE COLOMBIA">
          <a:extLst>
            <a:ext uri="{FF2B5EF4-FFF2-40B4-BE49-F238E27FC236}">
              <a16:creationId xmlns:a16="http://schemas.microsoft.com/office/drawing/2014/main" id="{D492C9B8-627D-41F9-8F40-39235B6EFC3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30550" y="163623"/>
          <a:ext cx="1362075" cy="265002"/>
        </a:xfrm>
        <a:prstGeom prst="rect">
          <a:avLst/>
        </a:prstGeom>
        <a:noFill/>
        <a:ln>
          <a:noFill/>
        </a:ln>
      </xdr:spPr>
    </xdr:pic>
    <xdr:clientData/>
  </xdr:oneCellAnchor>
  <xdr:twoCellAnchor editAs="oneCell">
    <xdr:from>
      <xdr:col>2</xdr:col>
      <xdr:colOff>0</xdr:colOff>
      <xdr:row>12</xdr:row>
      <xdr:rowOff>95250</xdr:rowOff>
    </xdr:from>
    <xdr:to>
      <xdr:col>7</xdr:col>
      <xdr:colOff>38099</xdr:colOff>
      <xdr:row>23</xdr:row>
      <xdr:rowOff>5063</xdr:rowOff>
    </xdr:to>
    <xdr:pic>
      <xdr:nvPicPr>
        <xdr:cNvPr id="6" name="Imagen 5">
          <a:extLst>
            <a:ext uri="{FF2B5EF4-FFF2-40B4-BE49-F238E27FC236}">
              <a16:creationId xmlns:a16="http://schemas.microsoft.com/office/drawing/2014/main" id="{5D2DA8C4-4AC9-4357-B858-8FC22DA9D401}"/>
            </a:ext>
          </a:extLst>
        </xdr:cNvPr>
        <xdr:cNvPicPr>
          <a:picLocks noChangeAspect="1"/>
        </xdr:cNvPicPr>
      </xdr:nvPicPr>
      <xdr:blipFill>
        <a:blip xmlns:r="http://schemas.openxmlformats.org/officeDocument/2006/relationships" r:embed="rId4"/>
        <a:stretch>
          <a:fillRect/>
        </a:stretch>
      </xdr:blipFill>
      <xdr:spPr>
        <a:xfrm>
          <a:off x="3419475" y="4972050"/>
          <a:ext cx="3552824" cy="2005313"/>
        </a:xfrm>
        <a:prstGeom prst="rect">
          <a:avLst/>
        </a:prstGeom>
      </xdr:spPr>
    </xdr:pic>
    <xdr:clientData/>
  </xdr:twoCellAnchor>
  <xdr:twoCellAnchor editAs="oneCell">
    <xdr:from>
      <xdr:col>7</xdr:col>
      <xdr:colOff>76199</xdr:colOff>
      <xdr:row>12</xdr:row>
      <xdr:rowOff>95250</xdr:rowOff>
    </xdr:from>
    <xdr:to>
      <xdr:col>11</xdr:col>
      <xdr:colOff>190499</xdr:colOff>
      <xdr:row>23</xdr:row>
      <xdr:rowOff>5063</xdr:rowOff>
    </xdr:to>
    <xdr:pic>
      <xdr:nvPicPr>
        <xdr:cNvPr id="7" name="Imagen 6">
          <a:extLst>
            <a:ext uri="{FF2B5EF4-FFF2-40B4-BE49-F238E27FC236}">
              <a16:creationId xmlns:a16="http://schemas.microsoft.com/office/drawing/2014/main" id="{C1BB7BD6-10BC-4191-82E6-D17B1DEB4915}"/>
            </a:ext>
          </a:extLst>
        </xdr:cNvPr>
        <xdr:cNvPicPr>
          <a:picLocks noChangeAspect="1"/>
        </xdr:cNvPicPr>
      </xdr:nvPicPr>
      <xdr:blipFill>
        <a:blip xmlns:r="http://schemas.openxmlformats.org/officeDocument/2006/relationships" r:embed="rId5"/>
        <a:stretch>
          <a:fillRect/>
        </a:stretch>
      </xdr:blipFill>
      <xdr:spPr>
        <a:xfrm>
          <a:off x="7010399" y="4972050"/>
          <a:ext cx="3448050" cy="2005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102751</xdr:colOff>
      <xdr:row>0</xdr:row>
      <xdr:rowOff>2</xdr:rowOff>
    </xdr:from>
    <xdr:to>
      <xdr:col>5</xdr:col>
      <xdr:colOff>781050</xdr:colOff>
      <xdr:row>2</xdr:row>
      <xdr:rowOff>161926</xdr:rowOff>
    </xdr:to>
    <xdr:pic>
      <xdr:nvPicPr>
        <xdr:cNvPr id="3" name="Imagen 2">
          <a:extLst>
            <a:ext uri="{FF2B5EF4-FFF2-40B4-BE49-F238E27FC236}">
              <a16:creationId xmlns:a16="http://schemas.microsoft.com/office/drawing/2014/main" id="{29F421A9-59BA-4BCE-8677-B08DCCB219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51" y="2"/>
          <a:ext cx="1554599" cy="67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114301</xdr:colOff>
      <xdr:row>1</xdr:row>
      <xdr:rowOff>57149</xdr:rowOff>
    </xdr:from>
    <xdr:to>
      <xdr:col>11</xdr:col>
      <xdr:colOff>238125</xdr:colOff>
      <xdr:row>2</xdr:row>
      <xdr:rowOff>95250</xdr:rowOff>
    </xdr:to>
    <xdr:pic>
      <xdr:nvPicPr>
        <xdr:cNvPr id="4" name="Imagen 3" descr="Image result for LOGO MINSALUD">
          <a:extLst>
            <a:ext uri="{FF2B5EF4-FFF2-40B4-BE49-F238E27FC236}">
              <a16:creationId xmlns:a16="http://schemas.microsoft.com/office/drawing/2014/main" id="{AA983C78-848F-4080-A147-F476ABA31C1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1" y="247649"/>
          <a:ext cx="885824" cy="228601"/>
        </a:xfrm>
        <a:prstGeom prst="rect">
          <a:avLst/>
        </a:prstGeom>
        <a:noFill/>
        <a:ln>
          <a:noFill/>
        </a:ln>
      </xdr:spPr>
    </xdr:pic>
    <xdr:clientData/>
  </xdr:twoCellAnchor>
  <xdr:twoCellAnchor editAs="oneCell">
    <xdr:from>
      <xdr:col>11</xdr:col>
      <xdr:colOff>38100</xdr:colOff>
      <xdr:row>1</xdr:row>
      <xdr:rowOff>57149</xdr:rowOff>
    </xdr:from>
    <xdr:to>
      <xdr:col>12</xdr:col>
      <xdr:colOff>184151</xdr:colOff>
      <xdr:row>2</xdr:row>
      <xdr:rowOff>85724</xdr:rowOff>
    </xdr:to>
    <xdr:pic>
      <xdr:nvPicPr>
        <xdr:cNvPr id="5" name="Imagen 4" descr="Image result for LOGO GOBIERNO DE COLOMBIA">
          <a:extLst>
            <a:ext uri="{FF2B5EF4-FFF2-40B4-BE49-F238E27FC236}">
              <a16:creationId xmlns:a16="http://schemas.microsoft.com/office/drawing/2014/main" id="{5A15B3C3-ED0C-418A-9F59-EA334D05C33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247649"/>
          <a:ext cx="908051" cy="2190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994682</xdr:colOff>
      <xdr:row>0</xdr:row>
      <xdr:rowOff>0</xdr:rowOff>
    </xdr:from>
    <xdr:ext cx="1157967" cy="552450"/>
    <xdr:pic>
      <xdr:nvPicPr>
        <xdr:cNvPr id="3" name="Imagen 2">
          <a:extLst>
            <a:ext uri="{FF2B5EF4-FFF2-40B4-BE49-F238E27FC236}">
              <a16:creationId xmlns:a16="http://schemas.microsoft.com/office/drawing/2014/main" id="{2F1E7E94-55B1-4CC5-A7CD-91EEFC1613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682" y="0"/>
          <a:ext cx="1157967" cy="55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245269</xdr:colOff>
      <xdr:row>0</xdr:row>
      <xdr:rowOff>126207</xdr:rowOff>
    </xdr:from>
    <xdr:ext cx="1243012" cy="254793"/>
    <xdr:pic>
      <xdr:nvPicPr>
        <xdr:cNvPr id="4" name="Imagen 3" descr="Image result for LOGO MINSALUD">
          <a:extLst>
            <a:ext uri="{FF2B5EF4-FFF2-40B4-BE49-F238E27FC236}">
              <a16:creationId xmlns:a16="http://schemas.microsoft.com/office/drawing/2014/main" id="{6B6D1ABB-6E50-40D0-9E87-C3EAB355B9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47019" y="126207"/>
          <a:ext cx="1243012" cy="254793"/>
        </a:xfrm>
        <a:prstGeom prst="rect">
          <a:avLst/>
        </a:prstGeom>
        <a:noFill/>
        <a:ln>
          <a:noFill/>
        </a:ln>
      </xdr:spPr>
    </xdr:pic>
    <xdr:clientData/>
  </xdr:oneCellAnchor>
  <xdr:oneCellAnchor>
    <xdr:from>
      <xdr:col>19</xdr:col>
      <xdr:colOff>0</xdr:colOff>
      <xdr:row>0</xdr:row>
      <xdr:rowOff>115998</xdr:rowOff>
    </xdr:from>
    <xdr:ext cx="1457328" cy="288814"/>
    <xdr:pic>
      <xdr:nvPicPr>
        <xdr:cNvPr id="5" name="Imagen 4" descr="Image result for LOGO GOBIERNO DE COLOMBIA">
          <a:extLst>
            <a:ext uri="{FF2B5EF4-FFF2-40B4-BE49-F238E27FC236}">
              <a16:creationId xmlns:a16="http://schemas.microsoft.com/office/drawing/2014/main" id="{066CA37E-D1DE-4AD7-AA85-1EB499E0778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68625" y="115998"/>
          <a:ext cx="1457328" cy="288814"/>
        </a:xfrm>
        <a:prstGeom prst="rect">
          <a:avLst/>
        </a:prstGeom>
        <a:noFill/>
        <a:ln>
          <a:noFill/>
        </a:ln>
      </xdr:spPr>
    </xdr:pic>
    <xdr:clientData/>
  </xdr:oneCellAnchor>
  <xdr:twoCellAnchor editAs="oneCell">
    <xdr:from>
      <xdr:col>2</xdr:col>
      <xdr:colOff>0</xdr:colOff>
      <xdr:row>16</xdr:row>
      <xdr:rowOff>0</xdr:rowOff>
    </xdr:from>
    <xdr:to>
      <xdr:col>7</xdr:col>
      <xdr:colOff>40480</xdr:colOff>
      <xdr:row>26</xdr:row>
      <xdr:rowOff>100313</xdr:rowOff>
    </xdr:to>
    <xdr:pic>
      <xdr:nvPicPr>
        <xdr:cNvPr id="6" name="Imagen 5">
          <a:extLst>
            <a:ext uri="{FF2B5EF4-FFF2-40B4-BE49-F238E27FC236}">
              <a16:creationId xmlns:a16="http://schemas.microsoft.com/office/drawing/2014/main" id="{2818D3ED-DD09-4E82-A58F-29D0ED3ABB3A}"/>
            </a:ext>
          </a:extLst>
        </xdr:cNvPr>
        <xdr:cNvPicPr>
          <a:picLocks noChangeAspect="1"/>
        </xdr:cNvPicPr>
      </xdr:nvPicPr>
      <xdr:blipFill>
        <a:blip xmlns:r="http://schemas.openxmlformats.org/officeDocument/2006/relationships" r:embed="rId4"/>
        <a:stretch>
          <a:fillRect/>
        </a:stretch>
      </xdr:blipFill>
      <xdr:spPr>
        <a:xfrm>
          <a:off x="3417094" y="5595938"/>
          <a:ext cx="3552824" cy="2005313"/>
        </a:xfrm>
        <a:prstGeom prst="rect">
          <a:avLst/>
        </a:prstGeom>
      </xdr:spPr>
    </xdr:pic>
    <xdr:clientData/>
  </xdr:twoCellAnchor>
  <xdr:twoCellAnchor editAs="oneCell">
    <xdr:from>
      <xdr:col>7</xdr:col>
      <xdr:colOff>78580</xdr:colOff>
      <xdr:row>16</xdr:row>
      <xdr:rowOff>0</xdr:rowOff>
    </xdr:from>
    <xdr:to>
      <xdr:col>11</xdr:col>
      <xdr:colOff>192880</xdr:colOff>
      <xdr:row>26</xdr:row>
      <xdr:rowOff>100313</xdr:rowOff>
    </xdr:to>
    <xdr:pic>
      <xdr:nvPicPr>
        <xdr:cNvPr id="7" name="Imagen 6">
          <a:extLst>
            <a:ext uri="{FF2B5EF4-FFF2-40B4-BE49-F238E27FC236}">
              <a16:creationId xmlns:a16="http://schemas.microsoft.com/office/drawing/2014/main" id="{81593F59-DA17-45CE-A972-A5E09482AF64}"/>
            </a:ext>
          </a:extLst>
        </xdr:cNvPr>
        <xdr:cNvPicPr>
          <a:picLocks noChangeAspect="1"/>
        </xdr:cNvPicPr>
      </xdr:nvPicPr>
      <xdr:blipFill>
        <a:blip xmlns:r="http://schemas.openxmlformats.org/officeDocument/2006/relationships" r:embed="rId5"/>
        <a:stretch>
          <a:fillRect/>
        </a:stretch>
      </xdr:blipFill>
      <xdr:spPr>
        <a:xfrm>
          <a:off x="7008018" y="5595938"/>
          <a:ext cx="3448050" cy="20053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149679</xdr:colOff>
      <xdr:row>1</xdr:row>
      <xdr:rowOff>8165</xdr:rowOff>
    </xdr:from>
    <xdr:to>
      <xdr:col>1</xdr:col>
      <xdr:colOff>673554</xdr:colOff>
      <xdr:row>4</xdr:row>
      <xdr:rowOff>55790</xdr:rowOff>
    </xdr:to>
    <xdr:pic>
      <xdr:nvPicPr>
        <xdr:cNvPr id="2" name="Imagen 1" descr="image001 (1)">
          <a:extLst>
            <a:ext uri="{FF2B5EF4-FFF2-40B4-BE49-F238E27FC236}">
              <a16:creationId xmlns:a16="http://schemas.microsoft.com/office/drawing/2014/main" id="{7E741173-DD78-452E-AD0A-B455E7A0026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3710"/>
        <a:stretch/>
      </xdr:blipFill>
      <xdr:spPr bwMode="auto">
        <a:xfrm>
          <a:off x="149679" y="198665"/>
          <a:ext cx="2076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30-0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Vigencia%202018%20Preliminar%20DTIC%20ADRES%2025-0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Accion%20ADRES%20Vigencia%202018%2026-01-18%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Accion%20ADRES%20-%20DAF%20Gesti&#243;n%20Documen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ela.briceno/Documents/Plan%20de%20acci&#243;n/Plan%20Accion%20ADRES%20-%20DAF%20y%20OA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magdiela.delacarrera\Documents\PLAN%20DE%20ACCI&#211;N%20GRUPO%20COBRO%20COACTIVO\Copia%20de%20Plan%20Accion%20ADRES%20Vigencia%202018%20Cobro%20Coactivo%2015-01-18%20remitido%20x%20Ricar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Accion%20ADRES%20Vigencia%202018%20ADRES%2026-01-18%20JC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PLAN%20DE%20ACCION%20TALENTO%20HUMAN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licia.benitez\Documents\PLAN%20DE%20ACCION\Apoyo%20Logistic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Alicia.benitez\Documents\PLAN%20DE%20ACCION\Atencion%20al%20Ciudadan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icardo.triana/AppData/Local/Microsoft/Windows/INetCache/Content.Outlook/NSJG1V0A/Plan%20Accion%20ADRES%20DOP%2024-01-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LG%2017-01-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ricardo.triana\Documents\ADRES\Plan%20de%20Accion\Plan%20Accion%202018\Plan%20Accion%20ADRES%20Vigencia%202018%20DGRFS%2017-01-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orela.briceno/AppData/Local/Microsoft/Windows/INetCache/Content.Outlook/FBI6K8AZ/Copia%20de%20Plan%20Accion%20ADRES%20Vigencia%202018%20con%20Cuadro%20de%20Man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licia.benitez\Documents\PLAN%20DE%20ACCION\Contra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row r="4">
          <cell r="Z4" t="str">
            <v xml:space="preserve">Codigo Plan de Acción </v>
          </cell>
          <cell r="AA4" t="str">
            <v>Vigencia Futura 2018</v>
          </cell>
          <cell r="AB4" t="str">
            <v xml:space="preserve">Virgencia Corriente </v>
          </cell>
          <cell r="AC4" t="str">
            <v>TOTAL</v>
          </cell>
        </row>
        <row r="5">
          <cell r="Z5" t="str">
            <v>11200-2-1-1</v>
          </cell>
          <cell r="AA5">
            <v>0</v>
          </cell>
          <cell r="AB5">
            <v>500000000</v>
          </cell>
          <cell r="AC5">
            <v>500000000</v>
          </cell>
          <cell r="AD5">
            <v>50000000</v>
          </cell>
          <cell r="AE5">
            <v>150000000</v>
          </cell>
          <cell r="AF5">
            <v>150000000</v>
          </cell>
          <cell r="AG5">
            <v>150000000</v>
          </cell>
        </row>
        <row r="6">
          <cell r="Z6" t="str">
            <v>11300-4-1-1</v>
          </cell>
          <cell r="AA6">
            <v>0</v>
          </cell>
          <cell r="AB6">
            <v>53187356</v>
          </cell>
          <cell r="AC6">
            <v>53187356</v>
          </cell>
          <cell r="AD6">
            <v>12240000</v>
          </cell>
          <cell r="AE6">
            <v>12240000</v>
          </cell>
          <cell r="AF6">
            <v>13296839</v>
          </cell>
          <cell r="AG6">
            <v>15410517</v>
          </cell>
        </row>
        <row r="7">
          <cell r="Z7" t="str">
            <v>11300-4-2-1</v>
          </cell>
          <cell r="AA7">
            <v>0</v>
          </cell>
          <cell r="AB7">
            <v>233813092</v>
          </cell>
          <cell r="AC7">
            <v>233813092</v>
          </cell>
          <cell r="AD7">
            <v>60776640</v>
          </cell>
          <cell r="AE7">
            <v>60776640</v>
          </cell>
          <cell r="AF7">
            <v>58453273</v>
          </cell>
          <cell r="AG7">
            <v>53806539</v>
          </cell>
        </row>
        <row r="8">
          <cell r="Z8" t="str">
            <v>11300-4-4-1</v>
          </cell>
          <cell r="AA8">
            <v>0</v>
          </cell>
          <cell r="AB8">
            <v>292066560</v>
          </cell>
          <cell r="AC8">
            <v>292066560</v>
          </cell>
          <cell r="AD8">
            <v>73016640</v>
          </cell>
          <cell r="AE8">
            <v>73016640</v>
          </cell>
          <cell r="AF8">
            <v>73016640</v>
          </cell>
          <cell r="AG8">
            <v>73016640</v>
          </cell>
        </row>
        <row r="9">
          <cell r="Z9" t="str">
            <v>11300-4-5-1</v>
          </cell>
          <cell r="AA9">
            <v>0</v>
          </cell>
          <cell r="AB9">
            <v>48960000</v>
          </cell>
          <cell r="AC9">
            <v>48960000</v>
          </cell>
          <cell r="AD9">
            <v>12240000</v>
          </cell>
          <cell r="AE9">
            <v>12240000</v>
          </cell>
          <cell r="AF9">
            <v>12240000</v>
          </cell>
          <cell r="AG9">
            <v>12240000</v>
          </cell>
        </row>
        <row r="10">
          <cell r="Z10" t="str">
            <v>11300-4-6-1</v>
          </cell>
          <cell r="AA10">
            <v>0</v>
          </cell>
          <cell r="AB10">
            <v>281973872</v>
          </cell>
          <cell r="AC10">
            <v>281973872</v>
          </cell>
          <cell r="AD10">
            <v>68170101</v>
          </cell>
          <cell r="AE10">
            <v>68170101</v>
          </cell>
          <cell r="AF10">
            <v>70493468</v>
          </cell>
          <cell r="AG10">
            <v>75140202</v>
          </cell>
        </row>
        <row r="11">
          <cell r="Z11" t="str">
            <v>11300-4-8-1</v>
          </cell>
          <cell r="AA11">
            <v>0</v>
          </cell>
          <cell r="AB11">
            <v>580945500</v>
          </cell>
          <cell r="AC11">
            <v>580945500</v>
          </cell>
          <cell r="AD11">
            <v>105626454.54545453</v>
          </cell>
          <cell r="AE11">
            <v>158439681.81818178</v>
          </cell>
          <cell r="AF11">
            <v>158439681.81818178</v>
          </cell>
          <cell r="AG11">
            <v>158439681.81818178</v>
          </cell>
        </row>
        <row r="12">
          <cell r="Z12" t="str">
            <v>11400-3-1-1</v>
          </cell>
          <cell r="AA12">
            <v>0</v>
          </cell>
          <cell r="AB12">
            <v>100516376</v>
          </cell>
          <cell r="AC12">
            <v>100516376</v>
          </cell>
          <cell r="AD12">
            <v>43249020</v>
          </cell>
          <cell r="AE12">
            <v>12240000</v>
          </cell>
          <cell r="AF12">
            <v>17376839</v>
          </cell>
          <cell r="AG12">
            <v>27650517</v>
          </cell>
        </row>
        <row r="13">
          <cell r="Z13" t="str">
            <v>11400-3-4-2</v>
          </cell>
          <cell r="AA13">
            <v>0</v>
          </cell>
          <cell r="AB13">
            <v>48960000</v>
          </cell>
          <cell r="AC13">
            <v>48960000</v>
          </cell>
          <cell r="AD13">
            <v>12240000</v>
          </cell>
          <cell r="AE13">
            <v>12240000</v>
          </cell>
          <cell r="AF13">
            <v>12240000</v>
          </cell>
          <cell r="AG13">
            <v>12240000</v>
          </cell>
        </row>
        <row r="14">
          <cell r="Z14" t="str">
            <v>11400-3-5-1</v>
          </cell>
          <cell r="AA14">
            <v>0</v>
          </cell>
          <cell r="AB14">
            <v>164378848</v>
          </cell>
          <cell r="AC14">
            <v>164378848</v>
          </cell>
          <cell r="AD14">
            <v>46231551</v>
          </cell>
          <cell r="AE14">
            <v>46231551</v>
          </cell>
          <cell r="AF14">
            <v>41094712</v>
          </cell>
          <cell r="AG14">
            <v>30821034</v>
          </cell>
        </row>
        <row r="15">
          <cell r="Z15" t="str">
            <v>11400-3-14-1</v>
          </cell>
          <cell r="AA15">
            <v>0</v>
          </cell>
          <cell r="AB15">
            <v>55000000</v>
          </cell>
          <cell r="AC15">
            <v>55000000</v>
          </cell>
          <cell r="AD15">
            <v>55000000</v>
          </cell>
          <cell r="AE15">
            <v>0</v>
          </cell>
          <cell r="AF15">
            <v>0</v>
          </cell>
          <cell r="AG15">
            <v>0</v>
          </cell>
        </row>
        <row r="16">
          <cell r="Z16" t="str">
            <v>11500-3-1-1</v>
          </cell>
          <cell r="AA16">
            <v>0</v>
          </cell>
          <cell r="AB16">
            <v>36720000</v>
          </cell>
          <cell r="AC16">
            <v>36720000</v>
          </cell>
          <cell r="AD16">
            <v>6885000</v>
          </cell>
          <cell r="AE16">
            <v>6885000</v>
          </cell>
          <cell r="AF16">
            <v>6885000</v>
          </cell>
          <cell r="AG16">
            <v>6885000</v>
          </cell>
        </row>
        <row r="17">
          <cell r="Z17" t="str">
            <v>11500-3-3-1</v>
          </cell>
          <cell r="AA17">
            <v>0</v>
          </cell>
          <cell r="AB17">
            <v>0</v>
          </cell>
          <cell r="AC17">
            <v>0</v>
          </cell>
          <cell r="AD17">
            <v>0</v>
          </cell>
          <cell r="AE17">
            <v>0</v>
          </cell>
          <cell r="AF17">
            <v>0</v>
          </cell>
          <cell r="AG17">
            <v>0</v>
          </cell>
        </row>
        <row r="18">
          <cell r="Z18" t="str">
            <v>11500-3-6-1</v>
          </cell>
          <cell r="AA18">
            <v>0</v>
          </cell>
          <cell r="AB18">
            <v>195840000</v>
          </cell>
          <cell r="AC18">
            <v>195840000</v>
          </cell>
          <cell r="AD18">
            <v>48960000</v>
          </cell>
          <cell r="AE18">
            <v>48960000</v>
          </cell>
          <cell r="AF18">
            <v>48960000</v>
          </cell>
          <cell r="AG18">
            <v>48960000</v>
          </cell>
        </row>
        <row r="19">
          <cell r="Z19" t="str">
            <v>11600-3-2-1</v>
          </cell>
          <cell r="AA19">
            <v>0</v>
          </cell>
          <cell r="AB19">
            <v>2614240473</v>
          </cell>
          <cell r="AC19">
            <v>2614240473</v>
          </cell>
          <cell r="AD19">
            <v>52857142.857142858</v>
          </cell>
          <cell r="AE19">
            <v>183571428.57142857</v>
          </cell>
          <cell r="AF19">
            <v>1037030914.9714285</v>
          </cell>
          <cell r="AG19">
            <v>1340780986.5999999</v>
          </cell>
        </row>
        <row r="20">
          <cell r="Z20" t="str">
            <v>11600-3-3-1</v>
          </cell>
          <cell r="AA20">
            <v>0</v>
          </cell>
          <cell r="AB20">
            <v>1024732093</v>
          </cell>
          <cell r="AC20">
            <v>1024732093</v>
          </cell>
          <cell r="AD20">
            <v>0</v>
          </cell>
          <cell r="AE20">
            <v>104606000</v>
          </cell>
          <cell r="AF20">
            <v>341169837.19999999</v>
          </cell>
          <cell r="AG20">
            <v>578956255.79999995</v>
          </cell>
        </row>
        <row r="21">
          <cell r="Z21" t="str">
            <v>11600-3-4-1</v>
          </cell>
          <cell r="AA21">
            <v>0</v>
          </cell>
          <cell r="AB21">
            <v>180000000</v>
          </cell>
          <cell r="AC21">
            <v>180000000</v>
          </cell>
          <cell r="AD21">
            <v>0</v>
          </cell>
          <cell r="AE21">
            <v>0</v>
          </cell>
          <cell r="AF21">
            <v>90000000</v>
          </cell>
          <cell r="AG21">
            <v>90000000</v>
          </cell>
        </row>
        <row r="22">
          <cell r="Z22" t="str">
            <v>11600-3-5-1</v>
          </cell>
          <cell r="AA22">
            <v>0</v>
          </cell>
          <cell r="AB22">
            <v>815594000</v>
          </cell>
          <cell r="AC22">
            <v>815594000</v>
          </cell>
          <cell r="AD22">
            <v>54431766.233766235</v>
          </cell>
          <cell r="AE22">
            <v>222866935.06493509</v>
          </cell>
          <cell r="AF22">
            <v>285366935.06493509</v>
          </cell>
          <cell r="AG22">
            <v>252928363.63636363</v>
          </cell>
        </row>
        <row r="23">
          <cell r="Z23" t="str">
            <v>11600-3-6-1</v>
          </cell>
          <cell r="AA23">
            <v>0</v>
          </cell>
          <cell r="AB23">
            <v>816000000</v>
          </cell>
          <cell r="AC23">
            <v>816000000</v>
          </cell>
          <cell r="AD23">
            <v>0</v>
          </cell>
          <cell r="AE23">
            <v>0</v>
          </cell>
          <cell r="AF23">
            <v>408000000</v>
          </cell>
          <cell r="AG23">
            <v>408000000</v>
          </cell>
        </row>
        <row r="24">
          <cell r="Z24" t="str">
            <v>11600-3-7-1</v>
          </cell>
          <cell r="AA24">
            <v>0</v>
          </cell>
          <cell r="AB24">
            <v>48960000</v>
          </cell>
          <cell r="AC24">
            <v>48960000</v>
          </cell>
          <cell r="AD24">
            <v>12240000</v>
          </cell>
          <cell r="AE24">
            <v>12240000</v>
          </cell>
          <cell r="AF24">
            <v>12240000</v>
          </cell>
          <cell r="AG24">
            <v>12240000</v>
          </cell>
        </row>
        <row r="25">
          <cell r="Z25" t="str">
            <v>11600-3-8-1</v>
          </cell>
          <cell r="AA25">
            <v>0</v>
          </cell>
          <cell r="AB25">
            <v>146880000</v>
          </cell>
          <cell r="AC25">
            <v>146880000</v>
          </cell>
          <cell r="AD25">
            <v>36720000</v>
          </cell>
          <cell r="AE25">
            <v>36720000</v>
          </cell>
          <cell r="AF25">
            <v>36720000</v>
          </cell>
          <cell r="AG25">
            <v>36720000</v>
          </cell>
        </row>
        <row r="26">
          <cell r="Z26" t="str">
            <v>11600-3-9-1</v>
          </cell>
          <cell r="AA26">
            <v>0</v>
          </cell>
          <cell r="AB26">
            <v>576178068</v>
          </cell>
          <cell r="AC26">
            <v>576178068</v>
          </cell>
          <cell r="AD26">
            <v>144044517</v>
          </cell>
          <cell r="AE26">
            <v>144044517</v>
          </cell>
          <cell r="AF26">
            <v>144044517</v>
          </cell>
          <cell r="AG26">
            <v>144044517</v>
          </cell>
        </row>
        <row r="27">
          <cell r="Z27" t="str">
            <v>11700-2-8-1</v>
          </cell>
          <cell r="AA27">
            <v>0</v>
          </cell>
          <cell r="AB27">
            <v>321766980</v>
          </cell>
          <cell r="AC27">
            <v>321766980</v>
          </cell>
          <cell r="AD27">
            <v>104921745</v>
          </cell>
          <cell r="AE27">
            <v>72281745</v>
          </cell>
          <cell r="AF27">
            <v>72281745</v>
          </cell>
          <cell r="AG27">
            <v>72281745</v>
          </cell>
        </row>
        <row r="28">
          <cell r="Z28" t="str">
            <v>11700-2-10-2</v>
          </cell>
          <cell r="AA28">
            <v>0</v>
          </cell>
          <cell r="AB28">
            <v>800000000</v>
          </cell>
          <cell r="AC28">
            <v>800000000</v>
          </cell>
          <cell r="AD28">
            <v>80000000</v>
          </cell>
          <cell r="AE28">
            <v>240000000</v>
          </cell>
          <cell r="AF28">
            <v>240000000</v>
          </cell>
          <cell r="AG28">
            <v>240000000</v>
          </cell>
        </row>
        <row r="29">
          <cell r="Z29" t="str">
            <v>11700-2-11-1</v>
          </cell>
          <cell r="AA29">
            <v>0</v>
          </cell>
          <cell r="AB29">
            <v>6000000</v>
          </cell>
          <cell r="AC29">
            <v>6000000</v>
          </cell>
          <cell r="AD29">
            <v>1090909.0909090908</v>
          </cell>
          <cell r="AE29">
            <v>1636363.6363636362</v>
          </cell>
          <cell r="AF29">
            <v>1636363.6363636362</v>
          </cell>
          <cell r="AG29">
            <v>1636363.6363636362</v>
          </cell>
        </row>
        <row r="30">
          <cell r="Z30" t="str">
            <v>11700-2-11-1</v>
          </cell>
          <cell r="AA30">
            <v>0</v>
          </cell>
          <cell r="AB30">
            <v>6000000</v>
          </cell>
          <cell r="AC30">
            <v>6000000</v>
          </cell>
          <cell r="AD30">
            <v>1090909.0909090908</v>
          </cell>
          <cell r="AE30">
            <v>1636363.6363636362</v>
          </cell>
          <cell r="AF30">
            <v>1636363.6363636362</v>
          </cell>
          <cell r="AG30">
            <v>1636363.6363636362</v>
          </cell>
        </row>
        <row r="31">
          <cell r="Z31" t="str">
            <v>11700-2-13-1</v>
          </cell>
          <cell r="AA31">
            <v>0</v>
          </cell>
          <cell r="AB31">
            <v>27880404</v>
          </cell>
          <cell r="AC31">
            <v>27880404</v>
          </cell>
          <cell r="AD31">
            <v>6970101</v>
          </cell>
          <cell r="AE31">
            <v>6970101</v>
          </cell>
          <cell r="AF31">
            <v>6970101</v>
          </cell>
          <cell r="AG31">
            <v>6970101</v>
          </cell>
        </row>
        <row r="32">
          <cell r="Z32" t="str">
            <v>11700-2-13-2</v>
          </cell>
          <cell r="AA32">
            <v>0</v>
          </cell>
          <cell r="AB32">
            <v>48960000</v>
          </cell>
          <cell r="AC32">
            <v>48960000</v>
          </cell>
          <cell r="AD32">
            <v>12240000</v>
          </cell>
          <cell r="AE32">
            <v>12240000</v>
          </cell>
          <cell r="AF32">
            <v>12240000</v>
          </cell>
          <cell r="AG32">
            <v>12240000</v>
          </cell>
        </row>
        <row r="33">
          <cell r="Z33" t="str">
            <v>11700-2-14-1</v>
          </cell>
          <cell r="AA33">
            <v>0</v>
          </cell>
          <cell r="AB33">
            <v>60000000</v>
          </cell>
          <cell r="AC33">
            <v>60000000</v>
          </cell>
          <cell r="AD33">
            <v>10909090.909090908</v>
          </cell>
          <cell r="AE33">
            <v>16363636.363636363</v>
          </cell>
          <cell r="AF33">
            <v>16363636.363636363</v>
          </cell>
          <cell r="AG33">
            <v>16363636.363636363</v>
          </cell>
        </row>
        <row r="34">
          <cell r="Z34" t="str">
            <v>11700-2-15-1</v>
          </cell>
          <cell r="AA34">
            <v>0</v>
          </cell>
          <cell r="AB34">
            <v>2468609473</v>
          </cell>
          <cell r="AC34">
            <v>2468609473</v>
          </cell>
          <cell r="AD34">
            <v>5709090.9090909092</v>
          </cell>
          <cell r="AE34">
            <v>5563636.3636363633</v>
          </cell>
          <cell r="AF34">
            <v>1097359970.2636366</v>
          </cell>
          <cell r="AG34">
            <v>1359976775.4636364</v>
          </cell>
        </row>
        <row r="35">
          <cell r="Z35" t="str">
            <v>11700-2-16-1</v>
          </cell>
          <cell r="AA35">
            <v>0</v>
          </cell>
          <cell r="AB35">
            <v>150000000</v>
          </cell>
          <cell r="AC35">
            <v>150000000</v>
          </cell>
          <cell r="AD35">
            <v>0</v>
          </cell>
          <cell r="AE35">
            <v>0</v>
          </cell>
          <cell r="AF35">
            <v>60000000</v>
          </cell>
          <cell r="AG35">
            <v>90000000</v>
          </cell>
        </row>
        <row r="36">
          <cell r="Z36" t="str">
            <v>11700-2-16-1</v>
          </cell>
          <cell r="AA36">
            <v>0</v>
          </cell>
          <cell r="AB36">
            <v>150000000</v>
          </cell>
          <cell r="AC36">
            <v>150000000</v>
          </cell>
          <cell r="AD36">
            <v>0</v>
          </cell>
          <cell r="AE36">
            <v>0</v>
          </cell>
          <cell r="AF36">
            <v>60000000</v>
          </cell>
          <cell r="AG36">
            <v>90000000</v>
          </cell>
        </row>
        <row r="37">
          <cell r="Z37" t="str">
            <v>11700-2-17-1</v>
          </cell>
          <cell r="AA37">
            <v>0</v>
          </cell>
          <cell r="AB37">
            <v>497391434</v>
          </cell>
          <cell r="AC37">
            <v>497391434</v>
          </cell>
          <cell r="AD37">
            <v>0</v>
          </cell>
          <cell r="AE37">
            <v>0</v>
          </cell>
          <cell r="AF37">
            <v>248695717</v>
          </cell>
          <cell r="AG37">
            <v>248695717</v>
          </cell>
        </row>
        <row r="38">
          <cell r="Z38" t="str">
            <v>11700-2-17-2</v>
          </cell>
          <cell r="AA38">
            <v>0</v>
          </cell>
          <cell r="AB38">
            <v>0</v>
          </cell>
          <cell r="AC38">
            <v>0</v>
          </cell>
          <cell r="AD38">
            <v>0</v>
          </cell>
          <cell r="AE38">
            <v>0</v>
          </cell>
          <cell r="AF38">
            <v>0</v>
          </cell>
          <cell r="AG38">
            <v>0</v>
          </cell>
        </row>
        <row r="39">
          <cell r="Z39" t="str">
            <v>11900-3-1-1</v>
          </cell>
          <cell r="AA39">
            <v>0</v>
          </cell>
          <cell r="AB39">
            <v>254442984</v>
          </cell>
          <cell r="AC39">
            <v>254442984</v>
          </cell>
          <cell r="AD39">
            <v>63610746</v>
          </cell>
          <cell r="AE39">
            <v>63610746</v>
          </cell>
          <cell r="AF39">
            <v>63610746</v>
          </cell>
          <cell r="AG39">
            <v>63610746</v>
          </cell>
        </row>
        <row r="40">
          <cell r="Z40" t="str">
            <v>11900-3-2-1</v>
          </cell>
          <cell r="AA40">
            <v>0</v>
          </cell>
          <cell r="AB40">
            <v>294388072</v>
          </cell>
          <cell r="AC40">
            <v>294388072</v>
          </cell>
          <cell r="AD40">
            <v>24093915</v>
          </cell>
          <cell r="AE40">
            <v>24093915</v>
          </cell>
          <cell r="AF40">
            <v>73597018</v>
          </cell>
          <cell r="AG40">
            <v>172603224</v>
          </cell>
        </row>
        <row r="41">
          <cell r="Z41" t="str">
            <v>11900-3-4-1</v>
          </cell>
          <cell r="AA41">
            <v>0</v>
          </cell>
          <cell r="AB41">
            <v>140708456</v>
          </cell>
          <cell r="AC41">
            <v>140708456</v>
          </cell>
          <cell r="AD41">
            <v>52765671</v>
          </cell>
          <cell r="AE41">
            <v>52765671</v>
          </cell>
          <cell r="AF41">
            <v>35177114</v>
          </cell>
          <cell r="AG41">
            <v>0</v>
          </cell>
        </row>
        <row r="42">
          <cell r="Z42" t="str">
            <v>11900-3-5-1</v>
          </cell>
          <cell r="AA42">
            <v>0</v>
          </cell>
          <cell r="AB42">
            <v>48960000</v>
          </cell>
          <cell r="AC42">
            <v>48960000</v>
          </cell>
          <cell r="AD42">
            <v>12240000</v>
          </cell>
          <cell r="AE42">
            <v>12240000</v>
          </cell>
          <cell r="AF42">
            <v>12240000</v>
          </cell>
          <cell r="AG42">
            <v>12240000</v>
          </cell>
        </row>
        <row r="43">
          <cell r="Z43" t="str">
            <v>11900-3-6-1</v>
          </cell>
          <cell r="AA43">
            <v>0</v>
          </cell>
          <cell r="AB43">
            <v>53164884</v>
          </cell>
          <cell r="AC43">
            <v>53164884</v>
          </cell>
          <cell r="AD43">
            <v>13291221</v>
          </cell>
          <cell r="AE43">
            <v>13291221</v>
          </cell>
          <cell r="AF43">
            <v>13291221</v>
          </cell>
          <cell r="AG43">
            <v>13291221</v>
          </cell>
        </row>
        <row r="44">
          <cell r="Z44" t="str">
            <v>11900-3-7-1</v>
          </cell>
          <cell r="AA44">
            <v>0</v>
          </cell>
          <cell r="AB44">
            <v>35443256</v>
          </cell>
          <cell r="AC44">
            <v>35443256</v>
          </cell>
          <cell r="AD44">
            <v>13291221</v>
          </cell>
          <cell r="AE44">
            <v>13291221</v>
          </cell>
          <cell r="AF44">
            <v>8860814</v>
          </cell>
          <cell r="AG44">
            <v>0</v>
          </cell>
        </row>
        <row r="45">
          <cell r="Z45" t="str">
            <v>11900-3-9-1</v>
          </cell>
          <cell r="AA45">
            <v>0</v>
          </cell>
          <cell r="AB45">
            <v>595641936</v>
          </cell>
          <cell r="AC45">
            <v>595641936</v>
          </cell>
          <cell r="AD45">
            <v>77660484</v>
          </cell>
          <cell r="AE45">
            <v>77660484</v>
          </cell>
          <cell r="AF45">
            <v>148910484</v>
          </cell>
          <cell r="AG45">
            <v>291410484</v>
          </cell>
        </row>
        <row r="46">
          <cell r="Z46" t="str">
            <v>11900-3-10-3</v>
          </cell>
          <cell r="AA46">
            <v>0</v>
          </cell>
          <cell r="AB46">
            <v>55760808</v>
          </cell>
          <cell r="AC46">
            <v>55760808</v>
          </cell>
          <cell r="AD46">
            <v>13940202</v>
          </cell>
          <cell r="AE46">
            <v>13940202</v>
          </cell>
          <cell r="AF46">
            <v>13940202</v>
          </cell>
          <cell r="AG46">
            <v>13940202</v>
          </cell>
        </row>
        <row r="47">
          <cell r="Z47" t="str">
            <v>12000-2-2-1</v>
          </cell>
          <cell r="AA47">
            <v>0</v>
          </cell>
          <cell r="AB47">
            <v>61642068</v>
          </cell>
          <cell r="AC47">
            <v>61642068</v>
          </cell>
          <cell r="AD47">
            <v>15410517</v>
          </cell>
          <cell r="AE47">
            <v>15410517</v>
          </cell>
          <cell r="AF47">
            <v>15410517</v>
          </cell>
          <cell r="AG47">
            <v>15410517</v>
          </cell>
        </row>
        <row r="76">
          <cell r="G76">
            <v>35443256</v>
          </cell>
        </row>
        <row r="77">
          <cell r="G77">
            <v>35443256</v>
          </cell>
        </row>
        <row r="78">
          <cell r="G78">
            <v>32640000</v>
          </cell>
        </row>
        <row r="79">
          <cell r="G79">
            <v>144328579</v>
          </cell>
        </row>
        <row r="80">
          <cell r="G80">
            <v>150000000</v>
          </cell>
        </row>
        <row r="81">
          <cell r="G81">
            <v>109144568</v>
          </cell>
        </row>
        <row r="89">
          <cell r="G89">
            <v>32640000</v>
          </cell>
        </row>
        <row r="173">
          <cell r="G173">
            <v>17721628</v>
          </cell>
        </row>
        <row r="174">
          <cell r="G174">
            <v>17721628</v>
          </cell>
        </row>
        <row r="175">
          <cell r="G175">
            <v>16320000</v>
          </cell>
        </row>
        <row r="176">
          <cell r="H176">
            <v>54572288</v>
          </cell>
        </row>
        <row r="184">
          <cell r="G184">
            <v>16320000</v>
          </cell>
        </row>
      </sheetData>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Hoja1"/>
      <sheetName val="Plan Adquisiciones"/>
      <sheetName val="TAB. REF. PA"/>
    </sheetNames>
    <sheetDataSet>
      <sheetData sheetId="0"/>
      <sheetData sheetId="1"/>
      <sheetData sheetId="2">
        <row r="5">
          <cell r="Z5" t="str">
            <v>11200-2-1-1</v>
          </cell>
          <cell r="AA5">
            <v>0</v>
          </cell>
          <cell r="AB5">
            <v>500000000</v>
          </cell>
          <cell r="AC5">
            <v>500000000</v>
          </cell>
          <cell r="AD5">
            <v>50000000</v>
          </cell>
        </row>
        <row r="6">
          <cell r="Z6" t="str">
            <v>11300-4-1-1</v>
          </cell>
          <cell r="AA6">
            <v>0</v>
          </cell>
          <cell r="AB6">
            <v>53187356</v>
          </cell>
          <cell r="AC6">
            <v>53187356</v>
          </cell>
          <cell r="AD6">
            <v>12240000</v>
          </cell>
        </row>
        <row r="7">
          <cell r="Z7" t="str">
            <v>11300-4-2-1</v>
          </cell>
          <cell r="AA7">
            <v>0</v>
          </cell>
          <cell r="AB7">
            <v>233813092</v>
          </cell>
          <cell r="AC7">
            <v>233813092</v>
          </cell>
          <cell r="AD7">
            <v>60776640</v>
          </cell>
        </row>
        <row r="8">
          <cell r="Z8" t="str">
            <v>11300-4-4-1</v>
          </cell>
          <cell r="AA8">
            <v>0</v>
          </cell>
          <cell r="AB8">
            <v>292066560</v>
          </cell>
          <cell r="AC8">
            <v>292066560</v>
          </cell>
          <cell r="AD8">
            <v>73016640</v>
          </cell>
        </row>
        <row r="9">
          <cell r="Z9" t="str">
            <v>11300-4-5-1</v>
          </cell>
          <cell r="AA9">
            <v>0</v>
          </cell>
          <cell r="AB9">
            <v>48960000</v>
          </cell>
          <cell r="AC9">
            <v>48960000</v>
          </cell>
          <cell r="AD9">
            <v>12240000</v>
          </cell>
        </row>
        <row r="10">
          <cell r="Z10" t="str">
            <v>11300-4-6-1</v>
          </cell>
          <cell r="AA10">
            <v>0</v>
          </cell>
          <cell r="AB10">
            <v>281973872</v>
          </cell>
          <cell r="AC10">
            <v>281973872</v>
          </cell>
          <cell r="AD10">
            <v>68170101</v>
          </cell>
        </row>
        <row r="11">
          <cell r="Z11" t="str">
            <v>11300-4-8-1</v>
          </cell>
          <cell r="AA11">
            <v>0</v>
          </cell>
          <cell r="AB11">
            <v>580945500</v>
          </cell>
          <cell r="AC11">
            <v>580945500</v>
          </cell>
          <cell r="AD11">
            <v>105626454.54545453</v>
          </cell>
        </row>
        <row r="12">
          <cell r="Z12" t="str">
            <v>11400-3-1-1</v>
          </cell>
          <cell r="AA12">
            <v>0</v>
          </cell>
          <cell r="AB12">
            <v>100516376</v>
          </cell>
          <cell r="AC12">
            <v>100516376</v>
          </cell>
          <cell r="AD12">
            <v>43249020</v>
          </cell>
        </row>
        <row r="13">
          <cell r="Z13" t="str">
            <v>11400-3-4-2</v>
          </cell>
          <cell r="AA13">
            <v>0</v>
          </cell>
          <cell r="AB13">
            <v>48960000</v>
          </cell>
          <cell r="AC13">
            <v>48960000</v>
          </cell>
          <cell r="AD13">
            <v>12240000</v>
          </cell>
        </row>
        <row r="14">
          <cell r="Z14" t="str">
            <v>11400-3-5-1</v>
          </cell>
          <cell r="AA14">
            <v>0</v>
          </cell>
          <cell r="AB14">
            <v>164378848</v>
          </cell>
          <cell r="AC14">
            <v>164378848</v>
          </cell>
          <cell r="AD14">
            <v>46231551</v>
          </cell>
        </row>
        <row r="15">
          <cell r="Z15" t="str">
            <v>11400-3-14-1</v>
          </cell>
          <cell r="AA15">
            <v>0</v>
          </cell>
          <cell r="AB15">
            <v>55000000</v>
          </cell>
          <cell r="AC15">
            <v>55000000</v>
          </cell>
          <cell r="AD15">
            <v>55000000</v>
          </cell>
        </row>
        <row r="16">
          <cell r="Z16" t="str">
            <v>11500-3-1-1</v>
          </cell>
          <cell r="AA16">
            <v>0</v>
          </cell>
          <cell r="AB16">
            <v>48960000</v>
          </cell>
          <cell r="AC16">
            <v>48960000</v>
          </cell>
          <cell r="AD16">
            <v>12240000</v>
          </cell>
        </row>
        <row r="17">
          <cell r="Z17" t="str">
            <v>11500-3-3-1</v>
          </cell>
          <cell r="AA17">
            <v>0</v>
          </cell>
          <cell r="AB17">
            <v>195840000</v>
          </cell>
          <cell r="AC17">
            <v>195840000</v>
          </cell>
          <cell r="AD17">
            <v>48960000</v>
          </cell>
        </row>
        <row r="18">
          <cell r="Z18" t="str">
            <v>11500-3-6-1</v>
          </cell>
          <cell r="AA18">
            <v>0</v>
          </cell>
          <cell r="AB18">
            <v>30882027540</v>
          </cell>
          <cell r="AC18">
            <v>30882027540</v>
          </cell>
          <cell r="AD18">
            <v>0</v>
          </cell>
        </row>
        <row r="19">
          <cell r="Z19" t="str">
            <v>11600-3-2-1</v>
          </cell>
          <cell r="AA19">
            <v>0</v>
          </cell>
          <cell r="AB19">
            <v>2614240473</v>
          </cell>
          <cell r="AC19">
            <v>2614240473</v>
          </cell>
          <cell r="AD19">
            <v>55884502.857142858</v>
          </cell>
        </row>
        <row r="20">
          <cell r="Z20" t="str">
            <v>11600-3-3-1</v>
          </cell>
          <cell r="AA20">
            <v>0</v>
          </cell>
          <cell r="AB20">
            <v>1024732093</v>
          </cell>
          <cell r="AC20">
            <v>1024732093</v>
          </cell>
          <cell r="AD20">
            <v>0</v>
          </cell>
        </row>
        <row r="21">
          <cell r="Z21" t="str">
            <v>11600-3-4-1</v>
          </cell>
          <cell r="AA21">
            <v>0</v>
          </cell>
          <cell r="AB21">
            <v>180000000</v>
          </cell>
          <cell r="AC21">
            <v>180000000</v>
          </cell>
          <cell r="AD21">
            <v>0</v>
          </cell>
        </row>
        <row r="22">
          <cell r="Z22" t="str">
            <v>11600-3-5-1</v>
          </cell>
          <cell r="AA22">
            <v>0</v>
          </cell>
          <cell r="AB22">
            <v>815594000</v>
          </cell>
          <cell r="AC22">
            <v>815594000</v>
          </cell>
          <cell r="AD22">
            <v>54431766.233766235</v>
          </cell>
        </row>
        <row r="23">
          <cell r="Z23" t="str">
            <v>11600-3-6-1</v>
          </cell>
          <cell r="AA23">
            <v>0</v>
          </cell>
          <cell r="AB23">
            <v>816000000</v>
          </cell>
          <cell r="AC23">
            <v>816000000</v>
          </cell>
          <cell r="AD23">
            <v>0</v>
          </cell>
        </row>
        <row r="24">
          <cell r="Z24" t="str">
            <v>11600-3-7-1</v>
          </cell>
          <cell r="AA24">
            <v>0</v>
          </cell>
          <cell r="AB24">
            <v>48960000</v>
          </cell>
          <cell r="AC24">
            <v>48960000</v>
          </cell>
          <cell r="AD24">
            <v>12240000</v>
          </cell>
        </row>
        <row r="25">
          <cell r="Z25" t="str">
            <v>11600-3-8-1</v>
          </cell>
          <cell r="AA25">
            <v>0</v>
          </cell>
          <cell r="AB25">
            <v>146880000</v>
          </cell>
          <cell r="AC25">
            <v>146880000</v>
          </cell>
          <cell r="AD25">
            <v>36720000</v>
          </cell>
        </row>
        <row r="26">
          <cell r="Z26" t="str">
            <v>11600-3-9-1</v>
          </cell>
          <cell r="AA26">
            <v>0</v>
          </cell>
          <cell r="AB26">
            <v>563496000</v>
          </cell>
          <cell r="AC26">
            <v>563496000</v>
          </cell>
          <cell r="AD26">
            <v>140874000</v>
          </cell>
        </row>
        <row r="27">
          <cell r="Z27" t="str">
            <v>11700-2-7-1</v>
          </cell>
          <cell r="AA27">
            <v>0</v>
          </cell>
          <cell r="AB27">
            <v>329126980</v>
          </cell>
          <cell r="AC27">
            <v>329126980</v>
          </cell>
          <cell r="AD27">
            <v>76281745</v>
          </cell>
        </row>
        <row r="28">
          <cell r="Z28" t="str">
            <v>11700-2-9-2</v>
          </cell>
          <cell r="AA28">
            <v>0</v>
          </cell>
          <cell r="AB28">
            <v>800000000</v>
          </cell>
          <cell r="AC28">
            <v>800000000</v>
          </cell>
          <cell r="AD28">
            <v>80000000</v>
          </cell>
        </row>
        <row r="29">
          <cell r="Z29" t="str">
            <v>11700-2-10-1</v>
          </cell>
          <cell r="AA29">
            <v>0</v>
          </cell>
          <cell r="AB29">
            <v>6000000</v>
          </cell>
          <cell r="AC29">
            <v>6000000</v>
          </cell>
          <cell r="AD29">
            <v>1090909.0909090908</v>
          </cell>
        </row>
        <row r="30">
          <cell r="Z30" t="str">
            <v>11700-2-11-1</v>
          </cell>
          <cell r="AA30">
            <v>0</v>
          </cell>
          <cell r="AB30">
            <v>139384920</v>
          </cell>
          <cell r="AC30">
            <v>139384920</v>
          </cell>
          <cell r="AD30">
            <v>19321230</v>
          </cell>
        </row>
        <row r="31">
          <cell r="Z31" t="str">
            <v>11700-2-12-1</v>
          </cell>
          <cell r="AA31">
            <v>0</v>
          </cell>
          <cell r="AB31">
            <v>58933468</v>
          </cell>
          <cell r="AC31">
            <v>58933468</v>
          </cell>
          <cell r="AD31">
            <v>13940000</v>
          </cell>
        </row>
        <row r="32">
          <cell r="Z32" t="str">
            <v>11700-2-12-2</v>
          </cell>
          <cell r="AA32">
            <v>0</v>
          </cell>
          <cell r="AB32">
            <v>34906936</v>
          </cell>
          <cell r="AC32">
            <v>34906936</v>
          </cell>
          <cell r="AD32">
            <v>6970101</v>
          </cell>
        </row>
        <row r="33">
          <cell r="Z33" t="str">
            <v>11700-2-13-1</v>
          </cell>
          <cell r="AA33">
            <v>0</v>
          </cell>
          <cell r="AB33">
            <v>60000000</v>
          </cell>
          <cell r="AC33">
            <v>60000000</v>
          </cell>
          <cell r="AD33">
            <v>10909090.909090908</v>
          </cell>
        </row>
        <row r="34">
          <cell r="Z34" t="str">
            <v>11700-2-14-1</v>
          </cell>
          <cell r="AA34">
            <v>0</v>
          </cell>
          <cell r="AB34">
            <v>2468609473</v>
          </cell>
          <cell r="AC34">
            <v>2468609473</v>
          </cell>
          <cell r="AD34">
            <v>5709090.9090909092</v>
          </cell>
        </row>
        <row r="35">
          <cell r="Z35" t="str">
            <v>11700-2-15-1</v>
          </cell>
          <cell r="AA35">
            <v>0</v>
          </cell>
          <cell r="AB35">
            <v>150000000</v>
          </cell>
          <cell r="AC35">
            <v>150000000</v>
          </cell>
          <cell r="AD35">
            <v>0</v>
          </cell>
        </row>
        <row r="36">
          <cell r="Z36" t="str">
            <v>11700-2-16-1</v>
          </cell>
          <cell r="AA36">
            <v>0</v>
          </cell>
          <cell r="AB36">
            <v>497391434</v>
          </cell>
          <cell r="AC36">
            <v>497391434</v>
          </cell>
          <cell r="AD36">
            <v>0</v>
          </cell>
        </row>
        <row r="37">
          <cell r="Z37" t="str">
            <v>11700-2-17-1</v>
          </cell>
          <cell r="AA37">
            <v>0</v>
          </cell>
          <cell r="AB37">
            <v>561418987.5</v>
          </cell>
          <cell r="AC37">
            <v>561418987.5</v>
          </cell>
          <cell r="AD37">
            <v>112500000</v>
          </cell>
        </row>
        <row r="38">
          <cell r="Z38" t="str">
            <v>11700-2-17-2</v>
          </cell>
          <cell r="AA38">
            <v>0</v>
          </cell>
          <cell r="AB38">
            <v>32640000</v>
          </cell>
          <cell r="AC38">
            <v>32640000</v>
          </cell>
          <cell r="AD38">
            <v>32640000</v>
          </cell>
        </row>
        <row r="39">
          <cell r="Z39" t="str">
            <v>11900-3-1-1</v>
          </cell>
          <cell r="AA39">
            <v>0</v>
          </cell>
          <cell r="AB39">
            <v>307607868</v>
          </cell>
          <cell r="AC39">
            <v>307607868</v>
          </cell>
          <cell r="AD39">
            <v>76901967</v>
          </cell>
        </row>
        <row r="40">
          <cell r="Z40" t="str">
            <v>11900-3-2-1</v>
          </cell>
          <cell r="AA40">
            <v>0</v>
          </cell>
          <cell r="AB40">
            <v>739005208</v>
          </cell>
          <cell r="AC40">
            <v>739005208</v>
          </cell>
          <cell r="AD40">
            <v>199041219</v>
          </cell>
        </row>
        <row r="41">
          <cell r="Z41" t="str">
            <v>11900-3-4-1</v>
          </cell>
          <cell r="AA41">
            <v>0</v>
          </cell>
          <cell r="AB41">
            <v>387129875</v>
          </cell>
          <cell r="AC41">
            <v>387129875</v>
          </cell>
          <cell r="AD41">
            <v>41705585.172727272</v>
          </cell>
        </row>
        <row r="42">
          <cell r="Z42" t="str">
            <v>11900-3-5-1</v>
          </cell>
          <cell r="AA42">
            <v>0</v>
          </cell>
          <cell r="AB42">
            <v>41933468</v>
          </cell>
          <cell r="AC42">
            <v>41933468</v>
          </cell>
          <cell r="AD42">
            <v>12240000</v>
          </cell>
        </row>
        <row r="43">
          <cell r="Z43" t="str">
            <v>11900-3-6-1</v>
          </cell>
          <cell r="AA43">
            <v>0</v>
          </cell>
          <cell r="AB43">
            <v>102124884</v>
          </cell>
          <cell r="AC43">
            <v>102124884</v>
          </cell>
          <cell r="AD43">
            <v>25531221</v>
          </cell>
        </row>
        <row r="44">
          <cell r="Z44" t="str">
            <v>11900-3-7-1</v>
          </cell>
          <cell r="AA44">
            <v>0</v>
          </cell>
          <cell r="AB44">
            <v>44736724</v>
          </cell>
          <cell r="AC44">
            <v>44736724</v>
          </cell>
          <cell r="AD44">
            <v>13291221</v>
          </cell>
        </row>
        <row r="45">
          <cell r="Z45" t="str">
            <v>11900-3-9-1</v>
          </cell>
          <cell r="AA45">
            <v>0</v>
          </cell>
          <cell r="AB45">
            <v>542477052</v>
          </cell>
          <cell r="AC45">
            <v>542477052</v>
          </cell>
          <cell r="AD45">
            <v>64369263</v>
          </cell>
        </row>
        <row r="46">
          <cell r="Z46" t="str">
            <v>11900-3-10-3</v>
          </cell>
          <cell r="AA46">
            <v>0</v>
          </cell>
          <cell r="AB46">
            <v>37173872</v>
          </cell>
          <cell r="AC46">
            <v>37173872</v>
          </cell>
          <cell r="AD46">
            <v>13940202</v>
          </cell>
        </row>
        <row r="47">
          <cell r="Z47" t="str">
            <v>12000-2-2-1</v>
          </cell>
          <cell r="AA47">
            <v>0</v>
          </cell>
          <cell r="AB47">
            <v>61642068</v>
          </cell>
          <cell r="AC47">
            <v>61642068</v>
          </cell>
          <cell r="AD47">
            <v>15410517</v>
          </cell>
        </row>
      </sheetData>
      <sheetData sheetId="3">
        <row r="5">
          <cell r="A5">
            <v>11200</v>
          </cell>
          <cell r="B5" t="str">
            <v>Dirección General</v>
          </cell>
        </row>
        <row r="6">
          <cell r="A6">
            <v>11300</v>
          </cell>
          <cell r="B6" t="str">
            <v>Dirección de Gestión de Recursos Financieros de Salud</v>
          </cell>
        </row>
        <row r="7">
          <cell r="A7">
            <v>11400</v>
          </cell>
          <cell r="B7" t="str">
            <v>Dirección de Liquidaciones y Garantías</v>
          </cell>
        </row>
        <row r="8">
          <cell r="A8">
            <v>11420</v>
          </cell>
          <cell r="B8" t="str">
            <v xml:space="preserve">Subdirección  Liquidaciones </v>
          </cell>
        </row>
        <row r="9">
          <cell r="A9">
            <v>11430</v>
          </cell>
          <cell r="B9" t="str">
            <v xml:space="preserve">Subdirección de Garantías </v>
          </cell>
        </row>
        <row r="10">
          <cell r="A10">
            <v>11500</v>
          </cell>
          <cell r="B10" t="str">
            <v xml:space="preserve">Dirección de Otras Prestaciones  </v>
          </cell>
        </row>
        <row r="11">
          <cell r="A11">
            <v>11600</v>
          </cell>
          <cell r="B11" t="str">
            <v>Dirección de Gestión de Tecnología de la Información y la Comunicación</v>
          </cell>
        </row>
        <row r="12">
          <cell r="A12">
            <v>11700</v>
          </cell>
          <cell r="B12" t="str">
            <v>Dirección Administrativa y Financiera</v>
          </cell>
        </row>
        <row r="13">
          <cell r="A13">
            <v>11800</v>
          </cell>
          <cell r="B13" t="str">
            <v>Oficina de Control Interno</v>
          </cell>
        </row>
        <row r="14">
          <cell r="A14">
            <v>11900</v>
          </cell>
          <cell r="B14" t="str">
            <v>Oficina Asesora Jurídica</v>
          </cell>
        </row>
        <row r="15">
          <cell r="A15">
            <v>12000</v>
          </cell>
          <cell r="B15" t="str">
            <v>Oficina Asesora de Planeación y Control de Riegos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row r="5">
          <cell r="Z5" t="str">
            <v>11200-2-1-1</v>
          </cell>
          <cell r="AA5">
            <v>0</v>
          </cell>
          <cell r="AB5">
            <v>500000000</v>
          </cell>
          <cell r="AC5">
            <v>500000000</v>
          </cell>
          <cell r="AD5">
            <v>50000000</v>
          </cell>
          <cell r="AE5">
            <v>150000000</v>
          </cell>
          <cell r="AF5">
            <v>150000000</v>
          </cell>
          <cell r="AG5">
            <v>150000000</v>
          </cell>
        </row>
        <row r="6">
          <cell r="Z6" t="str">
            <v>11300-4-1-1</v>
          </cell>
          <cell r="AA6">
            <v>0</v>
          </cell>
          <cell r="AB6">
            <v>53187356</v>
          </cell>
          <cell r="AC6">
            <v>53187356</v>
          </cell>
          <cell r="AD6">
            <v>12240000</v>
          </cell>
          <cell r="AE6">
            <v>12240000</v>
          </cell>
          <cell r="AF6">
            <v>13296839</v>
          </cell>
          <cell r="AG6">
            <v>15410517</v>
          </cell>
        </row>
        <row r="7">
          <cell r="Z7" t="str">
            <v>11300-4-2-1</v>
          </cell>
          <cell r="AA7">
            <v>0</v>
          </cell>
          <cell r="AB7">
            <v>233813092</v>
          </cell>
          <cell r="AC7">
            <v>233813092</v>
          </cell>
          <cell r="AD7">
            <v>60776640</v>
          </cell>
          <cell r="AE7">
            <v>60776640</v>
          </cell>
          <cell r="AF7">
            <v>58453273</v>
          </cell>
          <cell r="AG7">
            <v>53806539</v>
          </cell>
        </row>
        <row r="8">
          <cell r="Z8" t="str">
            <v>11300-4-4-1</v>
          </cell>
          <cell r="AA8">
            <v>0</v>
          </cell>
          <cell r="AB8">
            <v>292066560</v>
          </cell>
          <cell r="AC8">
            <v>292066560</v>
          </cell>
          <cell r="AD8">
            <v>73016640</v>
          </cell>
          <cell r="AE8">
            <v>73016640</v>
          </cell>
          <cell r="AF8">
            <v>73016640</v>
          </cell>
          <cell r="AG8">
            <v>73016640</v>
          </cell>
        </row>
        <row r="9">
          <cell r="Z9" t="str">
            <v>11300-4-5-1</v>
          </cell>
          <cell r="AA9">
            <v>0</v>
          </cell>
          <cell r="AB9">
            <v>48960000</v>
          </cell>
          <cell r="AC9">
            <v>48960000</v>
          </cell>
          <cell r="AD9">
            <v>12240000</v>
          </cell>
          <cell r="AE9">
            <v>12240000</v>
          </cell>
          <cell r="AF9">
            <v>12240000</v>
          </cell>
          <cell r="AG9">
            <v>12240000</v>
          </cell>
        </row>
        <row r="10">
          <cell r="Z10" t="str">
            <v>11300-4-6-1</v>
          </cell>
          <cell r="AA10">
            <v>0</v>
          </cell>
          <cell r="AB10">
            <v>281973872</v>
          </cell>
          <cell r="AC10">
            <v>281973872</v>
          </cell>
          <cell r="AD10">
            <v>68170101</v>
          </cell>
          <cell r="AE10">
            <v>68170101</v>
          </cell>
          <cell r="AF10">
            <v>70493468</v>
          </cell>
          <cell r="AG10">
            <v>75140202</v>
          </cell>
        </row>
        <row r="11">
          <cell r="Z11" t="str">
            <v>11300-4-8-1</v>
          </cell>
          <cell r="AA11">
            <v>0</v>
          </cell>
          <cell r="AB11">
            <v>580945500</v>
          </cell>
          <cell r="AC11">
            <v>580945500</v>
          </cell>
          <cell r="AD11">
            <v>105626454.54545453</v>
          </cell>
          <cell r="AE11">
            <v>158439681.81818178</v>
          </cell>
          <cell r="AF11">
            <v>158439681.81818178</v>
          </cell>
          <cell r="AG11">
            <v>158439681.81818178</v>
          </cell>
        </row>
        <row r="12">
          <cell r="Z12" t="str">
            <v>11400-3-1-1</v>
          </cell>
          <cell r="AA12">
            <v>0</v>
          </cell>
          <cell r="AB12">
            <v>100516376</v>
          </cell>
          <cell r="AC12">
            <v>100516376</v>
          </cell>
          <cell r="AD12">
            <v>43249020</v>
          </cell>
          <cell r="AE12">
            <v>12240000</v>
          </cell>
          <cell r="AF12">
            <v>17376839</v>
          </cell>
          <cell r="AG12">
            <v>27650517</v>
          </cell>
        </row>
        <row r="13">
          <cell r="Z13" t="str">
            <v>11400-3-4-2</v>
          </cell>
          <cell r="AA13">
            <v>0</v>
          </cell>
          <cell r="AB13">
            <v>48960000</v>
          </cell>
          <cell r="AC13">
            <v>48960000</v>
          </cell>
          <cell r="AD13">
            <v>12240000</v>
          </cell>
          <cell r="AE13">
            <v>12240000</v>
          </cell>
          <cell r="AF13">
            <v>12240000</v>
          </cell>
          <cell r="AG13">
            <v>12240000</v>
          </cell>
        </row>
        <row r="14">
          <cell r="Z14" t="str">
            <v>11400-3-5-1</v>
          </cell>
          <cell r="AA14">
            <v>0</v>
          </cell>
          <cell r="AB14">
            <v>164378848</v>
          </cell>
          <cell r="AC14">
            <v>164378848</v>
          </cell>
          <cell r="AD14">
            <v>46231551</v>
          </cell>
          <cell r="AE14">
            <v>46231551</v>
          </cell>
          <cell r="AF14">
            <v>41094712</v>
          </cell>
          <cell r="AG14">
            <v>30821034</v>
          </cell>
        </row>
        <row r="15">
          <cell r="Z15" t="str">
            <v>11400-3-14-1</v>
          </cell>
          <cell r="AA15">
            <v>0</v>
          </cell>
          <cell r="AB15">
            <v>55000000</v>
          </cell>
          <cell r="AC15">
            <v>55000000</v>
          </cell>
          <cell r="AD15">
            <v>55000000</v>
          </cell>
          <cell r="AE15">
            <v>0</v>
          </cell>
          <cell r="AF15">
            <v>0</v>
          </cell>
          <cell r="AG15">
            <v>0</v>
          </cell>
        </row>
        <row r="16">
          <cell r="Z16" t="str">
            <v>11500-3-1-1</v>
          </cell>
          <cell r="AA16">
            <v>0</v>
          </cell>
          <cell r="AB16">
            <v>48960000</v>
          </cell>
          <cell r="AC16">
            <v>48960000</v>
          </cell>
          <cell r="AD16">
            <v>12240000</v>
          </cell>
          <cell r="AE16">
            <v>12240000</v>
          </cell>
          <cell r="AF16">
            <v>12240000</v>
          </cell>
          <cell r="AG16">
            <v>12240000</v>
          </cell>
        </row>
        <row r="17">
          <cell r="Z17" t="str">
            <v>11500-3-3-1</v>
          </cell>
          <cell r="AA17">
            <v>0</v>
          </cell>
          <cell r="AB17">
            <v>195840000</v>
          </cell>
          <cell r="AC17">
            <v>195840000</v>
          </cell>
          <cell r="AD17">
            <v>48960000</v>
          </cell>
          <cell r="AE17">
            <v>48960000</v>
          </cell>
          <cell r="AF17">
            <v>48960000</v>
          </cell>
          <cell r="AG17">
            <v>48960000</v>
          </cell>
        </row>
        <row r="18">
          <cell r="Z18" t="str">
            <v>11500-3-6-1</v>
          </cell>
          <cell r="AA18">
            <v>0</v>
          </cell>
          <cell r="AB18">
            <v>30882027540</v>
          </cell>
          <cell r="AC18">
            <v>30882027540</v>
          </cell>
          <cell r="AD18">
            <v>0</v>
          </cell>
          <cell r="AE18">
            <v>7720506885</v>
          </cell>
          <cell r="AF18">
            <v>11580760327.5</v>
          </cell>
          <cell r="AG18">
            <v>11580760327.5</v>
          </cell>
        </row>
        <row r="19">
          <cell r="Z19" t="str">
            <v>11600-3-2-1</v>
          </cell>
          <cell r="AA19">
            <v>0</v>
          </cell>
          <cell r="AB19">
            <v>2614240473</v>
          </cell>
          <cell r="AC19">
            <v>2614240473</v>
          </cell>
          <cell r="AD19">
            <v>52857142.857142858</v>
          </cell>
          <cell r="AE19">
            <v>183571428.57142857</v>
          </cell>
          <cell r="AF19">
            <v>1037030914.9714285</v>
          </cell>
          <cell r="AG19">
            <v>1340780986.5999999</v>
          </cell>
        </row>
        <row r="20">
          <cell r="Z20" t="str">
            <v>11600-3-3-1</v>
          </cell>
          <cell r="AA20">
            <v>0</v>
          </cell>
          <cell r="AB20">
            <v>1024732093</v>
          </cell>
          <cell r="AC20">
            <v>1024732093</v>
          </cell>
          <cell r="AD20">
            <v>0</v>
          </cell>
          <cell r="AE20">
            <v>104606000</v>
          </cell>
          <cell r="AF20">
            <v>341169837.19999999</v>
          </cell>
          <cell r="AG20">
            <v>578956255.79999995</v>
          </cell>
        </row>
        <row r="21">
          <cell r="Z21" t="str">
            <v>11600-3-4-1</v>
          </cell>
          <cell r="AA21">
            <v>0</v>
          </cell>
          <cell r="AB21">
            <v>180000000</v>
          </cell>
          <cell r="AC21">
            <v>180000000</v>
          </cell>
          <cell r="AD21">
            <v>0</v>
          </cell>
          <cell r="AE21">
            <v>0</v>
          </cell>
          <cell r="AF21">
            <v>90000000</v>
          </cell>
          <cell r="AG21">
            <v>90000000</v>
          </cell>
        </row>
        <row r="22">
          <cell r="Z22" t="str">
            <v>11600-3-5-1</v>
          </cell>
          <cell r="AA22">
            <v>0</v>
          </cell>
          <cell r="AB22">
            <v>815594000</v>
          </cell>
          <cell r="AC22">
            <v>815594000</v>
          </cell>
          <cell r="AD22">
            <v>54431766.233766235</v>
          </cell>
          <cell r="AE22">
            <v>222866935.06493509</v>
          </cell>
          <cell r="AF22">
            <v>285366935.06493509</v>
          </cell>
          <cell r="AG22">
            <v>252928363.63636363</v>
          </cell>
        </row>
        <row r="23">
          <cell r="Z23" t="str">
            <v>11600-3-6-1</v>
          </cell>
          <cell r="AA23">
            <v>0</v>
          </cell>
          <cell r="AB23">
            <v>816000000</v>
          </cell>
          <cell r="AC23">
            <v>816000000</v>
          </cell>
          <cell r="AD23">
            <v>0</v>
          </cell>
          <cell r="AE23">
            <v>0</v>
          </cell>
          <cell r="AF23">
            <v>408000000</v>
          </cell>
          <cell r="AG23">
            <v>408000000</v>
          </cell>
        </row>
        <row r="24">
          <cell r="Z24" t="str">
            <v>11600-3-7-1</v>
          </cell>
          <cell r="AA24">
            <v>0</v>
          </cell>
          <cell r="AB24">
            <v>48960000</v>
          </cell>
          <cell r="AC24">
            <v>48960000</v>
          </cell>
          <cell r="AD24">
            <v>12240000</v>
          </cell>
          <cell r="AE24">
            <v>12240000</v>
          </cell>
          <cell r="AF24">
            <v>12240000</v>
          </cell>
          <cell r="AG24">
            <v>12240000</v>
          </cell>
        </row>
        <row r="25">
          <cell r="Z25" t="str">
            <v>11600-3-8-1</v>
          </cell>
          <cell r="AA25">
            <v>0</v>
          </cell>
          <cell r="AB25">
            <v>146880000</v>
          </cell>
          <cell r="AC25">
            <v>146880000</v>
          </cell>
          <cell r="AD25">
            <v>36720000</v>
          </cell>
          <cell r="AE25">
            <v>36720000</v>
          </cell>
          <cell r="AF25">
            <v>36720000</v>
          </cell>
          <cell r="AG25">
            <v>36720000</v>
          </cell>
        </row>
        <row r="26">
          <cell r="Z26" t="str">
            <v>11600-3-9-1</v>
          </cell>
          <cell r="AA26">
            <v>0</v>
          </cell>
          <cell r="AB26">
            <v>576178068</v>
          </cell>
          <cell r="AC26">
            <v>576178068</v>
          </cell>
          <cell r="AD26">
            <v>144044517</v>
          </cell>
          <cell r="AE26">
            <v>144044517</v>
          </cell>
          <cell r="AF26">
            <v>144044517</v>
          </cell>
          <cell r="AG26">
            <v>144044517</v>
          </cell>
        </row>
        <row r="27">
          <cell r="Z27" t="str">
            <v>11700-2-7-1</v>
          </cell>
          <cell r="AA27">
            <v>0</v>
          </cell>
          <cell r="AB27">
            <v>329126980</v>
          </cell>
          <cell r="AC27">
            <v>329126980</v>
          </cell>
          <cell r="AD27">
            <v>76281745</v>
          </cell>
          <cell r="AE27">
            <v>84281745</v>
          </cell>
          <cell r="AF27">
            <v>84281745</v>
          </cell>
          <cell r="AG27">
            <v>84281745</v>
          </cell>
        </row>
        <row r="28">
          <cell r="Z28" t="str">
            <v>11700-2-9-2</v>
          </cell>
          <cell r="AA28">
            <v>0</v>
          </cell>
          <cell r="AB28">
            <v>800000000</v>
          </cell>
          <cell r="AC28">
            <v>800000000</v>
          </cell>
          <cell r="AD28">
            <v>80000000</v>
          </cell>
          <cell r="AE28">
            <v>240000000</v>
          </cell>
          <cell r="AF28">
            <v>240000000</v>
          </cell>
          <cell r="AG28">
            <v>240000000</v>
          </cell>
        </row>
        <row r="29">
          <cell r="Z29" t="str">
            <v>11700-2-10-1</v>
          </cell>
          <cell r="AA29">
            <v>0</v>
          </cell>
          <cell r="AB29">
            <v>6000000</v>
          </cell>
          <cell r="AC29">
            <v>6000000</v>
          </cell>
          <cell r="AD29">
            <v>1090909.0909090908</v>
          </cell>
          <cell r="AE29">
            <v>1636363.6363636362</v>
          </cell>
          <cell r="AF29">
            <v>1636363.6363636362</v>
          </cell>
          <cell r="AG29">
            <v>1636363.6363636362</v>
          </cell>
        </row>
        <row r="30">
          <cell r="Z30" t="str">
            <v>11700-2-11-1</v>
          </cell>
          <cell r="AA30">
            <v>0</v>
          </cell>
          <cell r="AB30">
            <v>139384920</v>
          </cell>
          <cell r="AC30">
            <v>139384920</v>
          </cell>
          <cell r="AD30">
            <v>19321230</v>
          </cell>
          <cell r="AE30">
            <v>19321230</v>
          </cell>
          <cell r="AF30">
            <v>19321230</v>
          </cell>
          <cell r="AG30">
            <v>81421230</v>
          </cell>
        </row>
        <row r="31">
          <cell r="Z31" t="str">
            <v>11700-2-12-1</v>
          </cell>
          <cell r="AA31">
            <v>0</v>
          </cell>
          <cell r="AB31">
            <v>58933468</v>
          </cell>
          <cell r="AC31">
            <v>58933468</v>
          </cell>
          <cell r="AD31">
            <v>13940000</v>
          </cell>
          <cell r="AE31">
            <v>17340000</v>
          </cell>
          <cell r="AF31">
            <v>15583367</v>
          </cell>
          <cell r="AG31">
            <v>12070101</v>
          </cell>
        </row>
        <row r="32">
          <cell r="Z32" t="str">
            <v>11700-2-12-2</v>
          </cell>
          <cell r="AA32">
            <v>0</v>
          </cell>
          <cell r="AB32">
            <v>34906936</v>
          </cell>
          <cell r="AC32">
            <v>34906936</v>
          </cell>
          <cell r="AD32">
            <v>6970101</v>
          </cell>
          <cell r="AE32">
            <v>6970101</v>
          </cell>
          <cell r="AF32">
            <v>8726734</v>
          </cell>
          <cell r="AG32">
            <v>12240000</v>
          </cell>
        </row>
        <row r="33">
          <cell r="Z33" t="str">
            <v>11700-2-13-1</v>
          </cell>
          <cell r="AA33">
            <v>0</v>
          </cell>
          <cell r="AB33">
            <v>60000000</v>
          </cell>
          <cell r="AC33">
            <v>60000000</v>
          </cell>
          <cell r="AD33">
            <v>10909090.909090908</v>
          </cell>
          <cell r="AE33">
            <v>16363636.363636363</v>
          </cell>
          <cell r="AF33">
            <v>16363636.363636363</v>
          </cell>
          <cell r="AG33">
            <v>16363636.363636363</v>
          </cell>
        </row>
        <row r="34">
          <cell r="Z34" t="str">
            <v>11700-2-14-1</v>
          </cell>
          <cell r="AA34">
            <v>0</v>
          </cell>
          <cell r="AB34">
            <v>2468609473</v>
          </cell>
          <cell r="AC34">
            <v>2468609473</v>
          </cell>
          <cell r="AD34">
            <v>5709090.9090909092</v>
          </cell>
          <cell r="AE34">
            <v>5563636.3636363633</v>
          </cell>
          <cell r="AF34">
            <v>1097359970.2636366</v>
          </cell>
          <cell r="AG34">
            <v>1359976775.4636364</v>
          </cell>
        </row>
        <row r="35">
          <cell r="Z35" t="str">
            <v>11700-2-15-1</v>
          </cell>
          <cell r="AA35">
            <v>0</v>
          </cell>
          <cell r="AB35">
            <v>150000000</v>
          </cell>
          <cell r="AC35">
            <v>150000000</v>
          </cell>
          <cell r="AD35">
            <v>0</v>
          </cell>
          <cell r="AE35">
            <v>0</v>
          </cell>
          <cell r="AF35">
            <v>60000000</v>
          </cell>
          <cell r="AG35">
            <v>90000000</v>
          </cell>
        </row>
        <row r="36">
          <cell r="Z36" t="str">
            <v>11700-2-16-1</v>
          </cell>
          <cell r="AA36">
            <v>0</v>
          </cell>
          <cell r="AB36">
            <v>497391434</v>
          </cell>
          <cell r="AC36">
            <v>497391434</v>
          </cell>
          <cell r="AD36">
            <v>0</v>
          </cell>
          <cell r="AE36">
            <v>0</v>
          </cell>
          <cell r="AF36">
            <v>248695717</v>
          </cell>
          <cell r="AG36">
            <v>248695717</v>
          </cell>
        </row>
        <row r="37">
          <cell r="Z37" t="str">
            <v>11700-2-17-1</v>
          </cell>
          <cell r="AA37">
            <v>0</v>
          </cell>
          <cell r="AB37">
            <v>561418987.5</v>
          </cell>
          <cell r="AC37">
            <v>561418987.5</v>
          </cell>
          <cell r="AD37">
            <v>112500000</v>
          </cell>
          <cell r="AE37">
            <v>112500000</v>
          </cell>
          <cell r="AF37">
            <v>174671595</v>
          </cell>
          <cell r="AG37">
            <v>161747392.5</v>
          </cell>
        </row>
        <row r="38">
          <cell r="Z38" t="str">
            <v>11700-2-17-2</v>
          </cell>
          <cell r="AA38">
            <v>0</v>
          </cell>
          <cell r="AB38">
            <v>32640000</v>
          </cell>
          <cell r="AC38">
            <v>32640000</v>
          </cell>
          <cell r="AD38">
            <v>32640000</v>
          </cell>
          <cell r="AE38">
            <v>0</v>
          </cell>
          <cell r="AF38">
            <v>0</v>
          </cell>
          <cell r="AG38">
            <v>0</v>
          </cell>
        </row>
        <row r="39">
          <cell r="Z39" t="str">
            <v>11900-3-1-1</v>
          </cell>
          <cell r="AA39">
            <v>0</v>
          </cell>
          <cell r="AB39">
            <v>307607868</v>
          </cell>
          <cell r="AC39">
            <v>307607868</v>
          </cell>
          <cell r="AD39">
            <v>76901967</v>
          </cell>
          <cell r="AE39">
            <v>76901967</v>
          </cell>
          <cell r="AF39">
            <v>76901967</v>
          </cell>
          <cell r="AG39">
            <v>76901967</v>
          </cell>
        </row>
        <row r="40">
          <cell r="Z40" t="str">
            <v>11900-3-2-1</v>
          </cell>
          <cell r="AA40">
            <v>0</v>
          </cell>
          <cell r="AB40">
            <v>739005208</v>
          </cell>
          <cell r="AC40">
            <v>739005208</v>
          </cell>
          <cell r="AD40">
            <v>199041219</v>
          </cell>
          <cell r="AE40">
            <v>199041219</v>
          </cell>
          <cell r="AF40">
            <v>184751302</v>
          </cell>
          <cell r="AG40">
            <v>156171468</v>
          </cell>
        </row>
        <row r="41">
          <cell r="Z41" t="str">
            <v>11900-3-4-1</v>
          </cell>
          <cell r="AA41">
            <v>0</v>
          </cell>
          <cell r="AB41">
            <v>387129875</v>
          </cell>
          <cell r="AC41">
            <v>387129875</v>
          </cell>
          <cell r="AD41">
            <v>41705585.172727272</v>
          </cell>
          <cell r="AE41">
            <v>84207664.609090909</v>
          </cell>
          <cell r="AF41">
            <v>107407988.60909091</v>
          </cell>
          <cell r="AG41">
            <v>153808636.60909092</v>
          </cell>
        </row>
        <row r="42">
          <cell r="Z42" t="str">
            <v>11900-3-5-1</v>
          </cell>
          <cell r="AA42">
            <v>0</v>
          </cell>
          <cell r="AB42">
            <v>41933468</v>
          </cell>
          <cell r="AC42">
            <v>41933468</v>
          </cell>
          <cell r="AD42">
            <v>12240000</v>
          </cell>
          <cell r="AE42">
            <v>12240000</v>
          </cell>
          <cell r="AF42">
            <v>10483367</v>
          </cell>
          <cell r="AG42">
            <v>6970101</v>
          </cell>
        </row>
        <row r="43">
          <cell r="Z43" t="str">
            <v>11900-3-6-1</v>
          </cell>
          <cell r="AA43">
            <v>0</v>
          </cell>
          <cell r="AB43">
            <v>102124884</v>
          </cell>
          <cell r="AC43">
            <v>102124884</v>
          </cell>
          <cell r="AD43">
            <v>25531221</v>
          </cell>
          <cell r="AE43">
            <v>25531221</v>
          </cell>
          <cell r="AF43">
            <v>25531221</v>
          </cell>
          <cell r="AG43">
            <v>25531221</v>
          </cell>
        </row>
        <row r="44">
          <cell r="Z44" t="str">
            <v>11900-3-7-1</v>
          </cell>
          <cell r="AA44">
            <v>0</v>
          </cell>
          <cell r="AB44">
            <v>44736724</v>
          </cell>
          <cell r="AC44">
            <v>44736724</v>
          </cell>
          <cell r="AD44">
            <v>13291221</v>
          </cell>
          <cell r="AE44">
            <v>13291221</v>
          </cell>
          <cell r="AF44">
            <v>11184181</v>
          </cell>
          <cell r="AG44">
            <v>6970101</v>
          </cell>
        </row>
        <row r="45">
          <cell r="Z45" t="str">
            <v>11900-3-9-1</v>
          </cell>
          <cell r="AA45">
            <v>0</v>
          </cell>
          <cell r="AB45">
            <v>542477052</v>
          </cell>
          <cell r="AC45">
            <v>542477052</v>
          </cell>
          <cell r="AD45">
            <v>64369263</v>
          </cell>
          <cell r="AE45">
            <v>64369263</v>
          </cell>
          <cell r="AF45">
            <v>135619263</v>
          </cell>
          <cell r="AG45">
            <v>278119263</v>
          </cell>
        </row>
        <row r="46">
          <cell r="Z46" t="str">
            <v>11900-3-10-3</v>
          </cell>
          <cell r="AA46">
            <v>0</v>
          </cell>
          <cell r="AB46">
            <v>37173872</v>
          </cell>
          <cell r="AC46">
            <v>37173872</v>
          </cell>
          <cell r="AD46">
            <v>13940202</v>
          </cell>
          <cell r="AE46">
            <v>13940202</v>
          </cell>
          <cell r="AF46">
            <v>9293468</v>
          </cell>
          <cell r="AG46">
            <v>0</v>
          </cell>
        </row>
        <row r="47">
          <cell r="Z47" t="str">
            <v>12000-2-2-1</v>
          </cell>
          <cell r="AA47">
            <v>0</v>
          </cell>
          <cell r="AB47">
            <v>61642068</v>
          </cell>
          <cell r="AC47">
            <v>61642068</v>
          </cell>
          <cell r="AD47">
            <v>15410517</v>
          </cell>
          <cell r="AE47">
            <v>15410517</v>
          </cell>
          <cell r="AF47">
            <v>15410517</v>
          </cell>
          <cell r="AG47">
            <v>15410517</v>
          </cell>
        </row>
      </sheetData>
      <sheetData sheetId="2">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efreshError="1"/>
      <sheetData sheetId="2" refreshError="1">
        <row r="4">
          <cell r="A4">
            <v>11200</v>
          </cell>
          <cell r="B4" t="str">
            <v>Dirección General</v>
          </cell>
        </row>
        <row r="5">
          <cell r="A5">
            <v>11300</v>
          </cell>
          <cell r="B5" t="str">
            <v>Dirección de Gestión de Recursos Financieros de Salud</v>
          </cell>
        </row>
        <row r="6">
          <cell r="A6">
            <v>11400</v>
          </cell>
          <cell r="B6" t="str">
            <v>Dirección de Liquidaciones y Garantías</v>
          </cell>
        </row>
        <row r="7">
          <cell r="A7">
            <v>11420</v>
          </cell>
          <cell r="B7" t="str">
            <v xml:space="preserve">Subdirección  Liquidaciones </v>
          </cell>
        </row>
        <row r="8">
          <cell r="A8">
            <v>11430</v>
          </cell>
          <cell r="B8" t="str">
            <v xml:space="preserve">Subdirección de Garantías </v>
          </cell>
        </row>
        <row r="9">
          <cell r="A9">
            <v>11500</v>
          </cell>
          <cell r="B9" t="str">
            <v xml:space="preserve">Dirección de Otras Prestaciones  </v>
          </cell>
        </row>
        <row r="10">
          <cell r="A10">
            <v>11600</v>
          </cell>
          <cell r="B10" t="str">
            <v>Dirección de Gestión de Tecnología de la Información y la Comunicación</v>
          </cell>
        </row>
        <row r="11">
          <cell r="A11">
            <v>11700</v>
          </cell>
          <cell r="B11" t="str">
            <v>Dirección Administrativa y Financiera</v>
          </cell>
        </row>
        <row r="12">
          <cell r="A12">
            <v>11800</v>
          </cell>
          <cell r="B12" t="str">
            <v>Oficina de Control Interno</v>
          </cell>
        </row>
        <row r="13">
          <cell r="A13">
            <v>11900</v>
          </cell>
          <cell r="B13" t="str">
            <v>Oficina Asesora Jurídica</v>
          </cell>
        </row>
        <row r="14">
          <cell r="A14">
            <v>12000</v>
          </cell>
          <cell r="B14" t="str">
            <v>Oficina Asesora de Planeación y Control de Riegos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DAF y OAJ"/>
      <sheetName val="Plan Adquisiciones"/>
      <sheetName val="TAB. REF. PA"/>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TAB. REF. P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refreshError="1"/>
      <sheetData sheetId="1">
        <row r="67">
          <cell r="G67">
            <v>32640000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REF. PA"/>
      <sheetName val="Plan de Accion Final"/>
      <sheetName val="Hoja2"/>
      <sheetName val="Plan de Accion 2018"/>
      <sheetName val="Cuadro Mando Integral Seguimien"/>
      <sheetName val="Cuadro Mando Integral Detallado"/>
      <sheetName val="Cumplimiento perspectivas conso"/>
      <sheetName val="Cumplimiento de objetivos"/>
      <sheetName val="Cumplimiento Dependencias"/>
      <sheetName val="Cumplimi actividades relevantes"/>
      <sheetName val="Actividades relevantes Detalle"/>
      <sheetName val="PLAN DE ADQUISIONES COMPILAD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lan Adquisiciones"/>
      <sheetName val="TAB. REF. PA"/>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norela.briceno/AppData/Local/Microsoft/Windows/INetCache/Content.Outlook/FBI6K8AZ/Plan%20Accion%20ADRES%20Vigencia%202018%2029-01-18%20power%20poin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ARDO ANDRES VARON VILLAREAL" refreshedDate="43129.535882870368" createdVersion="6" refreshedVersion="6" minRefreshableVersion="3" recordCount="194">
  <cacheSource type="worksheet">
    <worksheetSource ref="A4:K198" sheet="Plan Adquisiciones" r:id="rId2"/>
  </cacheSource>
  <cacheFields count="11">
    <cacheField name="Código UNSPSC" numFmtId="0">
      <sharedItems containsBlank="1" containsMixedTypes="1" containsNumber="1" containsInteger="1" minValue="5512802" maxValue="931415506"/>
    </cacheField>
    <cacheField name="Descripción" numFmtId="0">
      <sharedItems containsBlank="1" longText="1"/>
    </cacheField>
    <cacheField name="Fecha estimada de inicio de proceso de selección (mes)" numFmtId="0">
      <sharedItems containsString="0" containsBlank="1" containsNumber="1" containsInteger="1" minValue="1" maxValue="11"/>
    </cacheField>
    <cacheField name="Duración estimada del contrato (intervalo: días, meses, años)" numFmtId="0">
      <sharedItems containsString="0" containsBlank="1" containsNumber="1" containsInteger="1" minValue="1" maxValue="11"/>
    </cacheField>
    <cacheField name="Modalidad de selección " numFmtId="0">
      <sharedItems containsBlank="1"/>
    </cacheField>
    <cacheField name="Fuente de los recursos" numFmtId="0">
      <sharedItems containsString="0" containsBlank="1" containsNumber="1" containsInteger="1" minValue="1" maxValue="1"/>
    </cacheField>
    <cacheField name="Valor total estimado " numFmtId="41">
      <sharedItems containsSemiMixedTypes="0" containsString="0" containsNumber="1" minValue="0" maxValue="47311456995.5"/>
    </cacheField>
    <cacheField name="Valor estimado en la vigencia actual" numFmtId="41">
      <sharedItems containsSemiMixedTypes="0" containsString="0" containsNumber="1" minValue="0" maxValue="47311456995.5"/>
    </cacheField>
    <cacheField name="¿Se requieren vigencias futuras?" numFmtId="0">
      <sharedItems containsString="0" containsBlank="1" containsNumber="1" containsInteger="1" minValue="0" maxValue="0"/>
    </cacheField>
    <cacheField name="Estado de solicitud de vigencias futuras" numFmtId="0">
      <sharedItems containsString="0" containsBlank="1" containsNumber="1" containsInteger="1" minValue="0" maxValue="0"/>
    </cacheField>
    <cacheField name="Dependencia ADRES" numFmtId="0">
      <sharedItems containsBlank="1" count="15">
        <s v="Dirección de Gestión de Recursos Financieros de Salud"/>
        <s v="Oficina Asesora de Planeación y Control de Riesgo"/>
        <s v="Dirección de Liquidaciones y Garantías - Subdirección de Liquidaciones del Aseguramiento"/>
        <s v="Dirección de Liquidaciones y Garantías - Subdirección de Garantías"/>
        <s v="Dirección de Gestión de Tecnología de la Información y la Comunicación"/>
        <s v="Dirección Otras Prestaciones"/>
        <s v="Oficina Asesora Jurídica - Grupo de Acciones Constitucionales y Tutelas"/>
        <s v="Oficina Asesora Jurídica - Grupo de Representación Judicial"/>
        <s v="Oficina Asesora Jurídica - Grupo de Cobro Coactivo"/>
        <s v="Dirección Administrativa y Financiera - Grupo de Contratación"/>
        <s v="Oficina Asesora Jurídica"/>
        <s v="Dirección Administrativa y Financiera"/>
        <s v="Dirección Administrativa y Financiera - Grupo de Talento Humano"/>
        <m/>
        <s v="Dirección Gener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4">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18586936"/>
    <n v="18586936"/>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26977168"/>
    <n v="269771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1"/>
    <n v="8"/>
    <s v="CCE-16"/>
    <n v="1"/>
    <n v="32640000"/>
    <n v="3264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1"/>
    <n v="8"/>
    <s v="CCE-16"/>
    <n v="1"/>
    <n v="32640000"/>
    <n v="32640000"/>
    <n v="0"/>
    <n v="0"/>
    <x v="0"/>
  </r>
  <r>
    <n v="84121701"/>
    <s v="Constituir una fiducia pública para el manejo del portafolio de inversiones marginales que resulte de la operación de la ADRES "/>
    <n v="1"/>
    <n v="11"/>
    <s v="CCE-16"/>
    <n v="1"/>
    <n v="518845499.99999994"/>
    <n v="518845499.99999994"/>
    <n v="0"/>
    <n v="0"/>
    <x v="0"/>
  </r>
  <r>
    <n v="801016000"/>
    <s v="Realizar la custodia, administración, compensación y liquidación de valores en depósito de los títulos valores de propiedad de la ADRES y/o generados del portafolio de inversiones marginales que resulte de la operación de la entidad."/>
    <n v="1"/>
    <n v="11"/>
    <s v="CCE-16"/>
    <n v="1"/>
    <n v="62100000"/>
    <n v="62100000"/>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1"/>
    <n v="8"/>
    <s v="CCE-16"/>
    <n v="1"/>
    <n v="41094712"/>
    <n v="41094712"/>
    <n v="0"/>
    <n v="0"/>
    <x v="1"/>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1"/>
    <n v="8"/>
    <s v="CCE-16"/>
    <n v="1"/>
    <n v="32640000"/>
    <n v="32640000"/>
    <n v="0"/>
    <n v="0"/>
    <x v="2"/>
  </r>
  <r>
    <n v="8111801"/>
    <s v="Apoyar a la Dirección de Liquidaciones y Garantías de la ADRES en el desarrollo de las actividades del proceso de reintegro de recursos apropiados sin justa causa"/>
    <n v="1"/>
    <n v="8"/>
    <s v="CCE-16"/>
    <n v="1"/>
    <n v="32640000"/>
    <n v="32640000"/>
    <n v="0"/>
    <n v="0"/>
    <x v="2"/>
  </r>
  <r>
    <n v="80101604"/>
    <s v="Apoyar a la Dirección de Liquidaciones y Garantías de la ADRES en el desarrollo de las actividades de liquidación y reconocimiento de prestaciones económicas y devolución de aportes a los afiliados  al régimen especial y exceptuado."/>
    <n v="1"/>
    <n v="8"/>
    <s v="CCE-16"/>
    <n v="1"/>
    <n v="41094712"/>
    <n v="41094712"/>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1"/>
    <n v="8"/>
    <s v="CCE-16"/>
    <m/>
    <n v="41094712"/>
    <n v="41094712"/>
    <n v="0"/>
    <n v="0"/>
    <x v="2"/>
  </r>
  <r>
    <n v="80101604"/>
    <s v="Asesorar a la Dirección de liquidaciones y garantías, en lo concerniente a las operaciones que se realizan con cargo de los mecanismos de Garantías, teniendo en cuenta la normatividad legal vigente."/>
    <n v="1"/>
    <n v="2"/>
    <s v="CCE-16"/>
    <m/>
    <n v="31009020"/>
    <n v="31009020"/>
    <n v="0"/>
    <n v="0"/>
    <x v="3"/>
  </r>
  <r>
    <s v="43232605-43232304"/>
    <s v="Adquisición, soporte técnico y capacitación del software Stata 15 en sus versiones SE y MP para la Administradora de los Recursos del Sistema de Seguridad Social en Salud – ADRES."/>
    <n v="1"/>
    <n v="3"/>
    <s v="CCE-16"/>
    <m/>
    <n v="55000000"/>
    <n v="55000000"/>
    <n v="0"/>
    <n v="0"/>
    <x v="3"/>
  </r>
  <r>
    <n v="81111811"/>
    <s v="Apoyar técnicamente a la Entidad en los procesos relacionados con el soporte a la infraestructura tecnológica, conectividad, de ofimática y periféricos, que permiten el normal funcionamiento de sus operaciones en la sede de la misma."/>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01"/>
    <s v="Apoyar la gestión de los procesos y procedimientos misionales y tecnológicos de la Base de Datos Única de Afiliados – BDUA brindando la asistencia técnica necesaria a los actores del proceso bajo la normativa vigente."/>
    <n v="1"/>
    <n v="8"/>
    <s v="CCE-16"/>
    <m/>
    <n v="32640000"/>
    <n v="3264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1"/>
    <n v="8"/>
    <s v="CCE-16"/>
    <m/>
    <n v="32640000"/>
    <n v="32640000"/>
    <n v="0"/>
    <n v="0"/>
    <x v="4"/>
  </r>
  <r>
    <n v="81111811"/>
    <s v="Apoyar a la Dirección de Gestión de Tecnologías de Información y Comunicaciones en el proceso de desarrollo, soporte, mantenimiento, actualización e integración de los aplicativos que soportan las operaciones misionales de la Entidad"/>
    <n v="1"/>
    <n v="8"/>
    <s v="CCE-16"/>
    <m/>
    <n v="35443256"/>
    <n v="35443256"/>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1"/>
    <n v="8"/>
    <s v="CCE-16"/>
    <m/>
    <n v="64250440"/>
    <n v="6425044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1"/>
    <n v="8"/>
    <s v="CCE-16"/>
    <m/>
    <n v="41094712"/>
    <n v="41094712"/>
    <n v="0"/>
    <n v="0"/>
    <x v="4"/>
  </r>
  <r>
    <s v="83111602 - 83112304 "/>
    <s v="Servicio de Conectividad"/>
    <n v="11"/>
    <n v="1"/>
    <s v="CCE-99"/>
    <m/>
    <n v="30273600"/>
    <n v="30273600"/>
    <n v="0"/>
    <n v="0"/>
    <x v="4"/>
  </r>
  <r>
    <n v="81112003"/>
    <s v="Adquirir el servicio de Nube Privada para la ADRES"/>
    <n v="7"/>
    <n v="5"/>
    <s v="CCE-99"/>
    <m/>
    <n v="2102398716"/>
    <n v="2102398716"/>
    <n v="0"/>
    <n v="0"/>
    <x v="4"/>
  </r>
  <r>
    <n v="43233201"/>
    <s v="Renovación d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
    <n v="7"/>
    <n v="5"/>
    <s v="CCE-10"/>
    <m/>
    <n v="22706093"/>
    <n v="22706093"/>
    <n v="0"/>
    <n v="0"/>
    <x v="4"/>
  </r>
  <r>
    <n v="81112200"/>
    <s v="Prestar el servicio de soporte y administración de la plataforma de gestión documental DOCUMENTUM y la solución de correspondencia de la ADRES"/>
    <n v="1"/>
    <n v="11"/>
    <s v="CCE-16"/>
    <m/>
    <n v="239904000"/>
    <n v="239904000"/>
    <n v="0"/>
    <n v="0"/>
    <x v="4"/>
  </r>
  <r>
    <s v="43231507 - 81112303 - 43232604_x000a_"/>
    <s v="Adquirir licencias Microsoft, el soporte de las mismas y demás servicios conexos."/>
    <n v="7"/>
    <n v="5"/>
    <s v="CCE-99"/>
    <m/>
    <n v="437946000"/>
    <n v="437946000"/>
    <n v="0"/>
    <n v="0"/>
    <x v="4"/>
  </r>
  <r>
    <n v="81112401"/>
    <s v="Servicio de arrendamiento de Equipos Tecnológicos y Periféricos"/>
    <n v="11"/>
    <n v="1"/>
    <s v="CCE-99"/>
    <m/>
    <n v="11568157"/>
    <n v="11568157"/>
    <n v="0"/>
    <n v="0"/>
    <x v="4"/>
  </r>
  <r>
    <n v="43201800"/>
    <s v="Adquirir los elementos de infraestructura tecnológica"/>
    <n v="4"/>
    <n v="8"/>
    <s v="CCE-99"/>
    <m/>
    <n v="10000000"/>
    <n v="10000000"/>
    <n v="0"/>
    <n v="0"/>
    <x v="4"/>
  </r>
  <r>
    <n v="43201800"/>
    <s v="Adquirir un Robot de cintas LTO6  para copias de respaldo de información de la nube privada de la entidad"/>
    <n v="4"/>
    <n v="8"/>
    <s v="CCE-07"/>
    <m/>
    <n v="90000000"/>
    <n v="90000000"/>
    <n v="0"/>
    <n v="0"/>
    <x v="4"/>
  </r>
  <r>
    <s v="43201800  -40101707"/>
    <s v="Adquisición de servidores y switches core "/>
    <n v="5"/>
    <n v="7"/>
    <s v="CCE-99"/>
    <m/>
    <n v="370000000"/>
    <n v="370000000"/>
    <n v="0"/>
    <n v="0"/>
    <x v="4"/>
  </r>
  <r>
    <n v="8116711"/>
    <s v="Servicio de videoconferencia gubernamental y adquisición de equipos"/>
    <n v="5"/>
    <n v="7"/>
    <s v="CCE-06"/>
    <m/>
    <n v="75690000"/>
    <n v="75690000"/>
    <n v="0"/>
    <n v="0"/>
    <x v="4"/>
  </r>
  <r>
    <n v="43231507"/>
    <s v="Renovación del licenciamiento Microsoft Dinamycs  ERP "/>
    <n v="4"/>
    <n v="8"/>
    <s v="CCE-99"/>
    <m/>
    <n v="68424000"/>
    <n v="68424000"/>
    <n v="0"/>
    <n v="0"/>
    <x v="4"/>
  </r>
  <r>
    <n v="43231500"/>
    <s v="Renovación Licenciamiento actual SGD DOCUMENTUN"/>
    <n v="3"/>
    <n v="9"/>
    <s v="CCE-06"/>
    <m/>
    <n v="145656000"/>
    <n v="145656000"/>
    <n v="0"/>
    <n v="0"/>
    <x v="4"/>
  </r>
  <r>
    <n v="8111707"/>
    <s v="Nuevos desarrollos y mantenimiento de aplicaciones"/>
    <n v="6"/>
    <n v="6"/>
    <s v="CCE-04"/>
    <m/>
    <n v="816000000"/>
    <n v="816000000"/>
    <n v="0"/>
    <n v="0"/>
    <x v="4"/>
  </r>
  <r>
    <s v="80101500  - 81111800  - 80101600 - 92121700"/>
    <s v="Apoyo técnico para la implementación del Modelo de Seguridad y Privacidad de la Información"/>
    <n v="6"/>
    <n v="6"/>
    <s v="CCE-04"/>
    <m/>
    <n v="180000000"/>
    <n v="180000000"/>
    <n v="0"/>
    <n v="0"/>
    <x v="4"/>
  </r>
  <r>
    <n v="83111507"/>
    <s v="Adquirir la Prestación de Servicios BPO-Mesa de ayuda, mediante Acuerdo Marco de Precios"/>
    <n v="4"/>
    <n v="8"/>
    <s v="CCE-09"/>
    <m/>
    <n v="500000000"/>
    <n v="500000000"/>
    <n v="0"/>
    <n v="0"/>
    <x v="4"/>
  </r>
  <r>
    <n v="43231507"/>
    <s v="Adquirir el licenciamiento en la nube de la solución Dynamics 365 enterprise para atención a incidentes en mesa de ayuda."/>
    <n v="4"/>
    <n v="8"/>
    <s v="CCE-09"/>
    <m/>
    <n v="350000000"/>
    <n v="350000000"/>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1"/>
    <n v="8"/>
    <s v="CCE-16"/>
    <m/>
    <n v="32640000"/>
    <n v="3264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1"/>
    <n v="8"/>
    <s v="CCE-16"/>
    <m/>
    <n v="32640000"/>
    <n v="32640000"/>
    <n v="0"/>
    <n v="0"/>
    <x v="5"/>
  </r>
  <r>
    <n v="80101505"/>
    <s v="Realizar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Fondo de Solidaridad y Garantía – FOSYGA del Sistema General de Seguridad Social en Salud o quien haga sus veces."/>
    <n v="4"/>
    <n v="8"/>
    <s v="CCE-04"/>
    <m/>
    <n v="30882027540"/>
    <n v="3088202754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26977168"/>
    <n v="26977168"/>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1"/>
    <n v="8"/>
    <s v="CCE-16"/>
    <m/>
    <n v="51523280"/>
    <n v="5152328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1"/>
    <n v="8"/>
    <s v="CCE-16"/>
    <m/>
    <n v="18586936"/>
    <n v="18586936"/>
    <n v="0"/>
    <n v="0"/>
    <x v="6"/>
  </r>
  <r>
    <n v="93151507"/>
    <s v="Apoyo a la Oficina Asesora Jurídica de la ADRES en actividades que tienen que ver con el registro, clasificación y control de la documentación en las bases de datos destinadas para esta finalidad y manejo de correspondencia. "/>
    <n v="1"/>
    <n v="8"/>
    <s v="CCE-16"/>
    <m/>
    <n v="18586936"/>
    <n v="18586936"/>
    <n v="0"/>
    <n v="0"/>
    <x v="6"/>
  </r>
  <r>
    <n v="801617000"/>
    <s v="Tramitar consultas y peticiones de carácter jurídico y frente al contenido de actos administrativos y mantener actualizada la información de normas constitucionales y legales y demás asuntos de competencia de la ADRES."/>
    <n v="1"/>
    <n v="8"/>
    <s v="CCE-16"/>
    <m/>
    <n v="35443256"/>
    <n v="35443256"/>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1"/>
    <n v="8"/>
    <s v="CCE-16"/>
    <m/>
    <n v="35443256"/>
    <n v="35443256"/>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1"/>
    <n v="8"/>
    <s v="CCE-16"/>
    <m/>
    <n v="32640000"/>
    <n v="32640000"/>
    <n v="0"/>
    <n v="0"/>
    <x v="7"/>
  </r>
  <r>
    <n v="80121609"/>
    <s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
    <n v="2"/>
    <n v="10"/>
    <s v="CCE-06"/>
    <m/>
    <n v="144328579"/>
    <n v="144328579"/>
    <n v="0"/>
    <n v="0"/>
    <x v="7"/>
  </r>
  <r>
    <n v="80121700"/>
    <s v="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
    <n v="1"/>
    <n v="11"/>
    <s v="CCE-16"/>
    <m/>
    <n v="150000000"/>
    <n v="15000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1"/>
    <n v="8"/>
    <s v="CCE-16"/>
    <m/>
    <n v="109144568"/>
    <n v="109144568"/>
    <n v="0"/>
    <n v="0"/>
    <x v="7"/>
  </r>
  <r>
    <n v="80121706"/>
    <s v="Ejercer la representación judicial y extrajudicial en los procesos en que sea parte la Administradora de los Recursos del Sistema General de Seguridad Social en Salud – ADRES o contra el entonces FOSYGA "/>
    <n v="1"/>
    <n v="8"/>
    <s v="CCE-16"/>
    <m/>
    <n v="76458016"/>
    <n v="76458016"/>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1"/>
    <n v="8"/>
    <s v="CCE-16"/>
    <m/>
    <n v="64250440"/>
    <n v="64250440"/>
    <n v="0"/>
    <n v="0"/>
    <x v="7"/>
  </r>
  <r>
    <n v="80121706"/>
    <s v="Ejercer la representación judicial y extrajudicial en los procesos en que sea parte a Administradora de los Recursos del Sistema General de Seguridad Social en Salud - ADRES o contra el entonces FOSYGA en el  Departamentos de Antioquia"/>
    <n v="1"/>
    <n v="8"/>
    <s v="CCE-16"/>
    <m/>
    <n v="66957080"/>
    <n v="6695708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3258024"/>
    <n v="73258024"/>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76458016"/>
    <n v="76458016"/>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1"/>
    <n v="8"/>
    <s v="CCE-16"/>
    <m/>
    <n v="64250440"/>
    <n v="6425044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1"/>
    <n v="8"/>
    <s v="CCE-16"/>
    <m/>
    <n v="35443256"/>
    <n v="35443256"/>
    <n v="0"/>
    <n v="0"/>
    <x v="7"/>
  </r>
  <r>
    <n v="93151507"/>
    <s v="Apoyar a la Oficina Asesora Jurídica de la ADRES en las actividades administrativas derivadas de la función de defensa judicial y extrajudicial de la Entidad"/>
    <n v="1"/>
    <n v="8"/>
    <s v="CCE-16"/>
    <m/>
    <n v="32640000"/>
    <n v="32640000"/>
    <n v="0"/>
    <n v="0"/>
    <x v="7"/>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93151507"/>
    <s v="Adelantar las actividades técnicas requeridas por la Oficina Asesora Jurídica para el cumplimiento de la gestión de la Administradora de los Recursos del Sistema General de Seguridad Social en Salud - ADRES"/>
    <n v="1"/>
    <n v="8"/>
    <s v="CCE-16"/>
    <m/>
    <n v="18586936"/>
    <n v="18586936"/>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1"/>
    <n v="8"/>
    <s v="CCE-16"/>
    <m/>
    <n v="64250440"/>
    <n v="64250440"/>
    <n v="0"/>
    <n v="0"/>
    <x v="9"/>
  </r>
  <r>
    <n v="93151507"/>
    <s v="Brindar asesoría y acompañamiento jurídico a la Administradora de los Recursos del Sistema General de la Seguridad Social en Salud – ADRES en los temas derivados de la actividad jurídica, judicial y contractual que adelanta la entidad."/>
    <n v="1"/>
    <n v="8"/>
    <s v="CCE-16"/>
    <m/>
    <n v="30000000"/>
    <n v="30000000"/>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1"/>
    <n v="8"/>
    <s v="CCE-16"/>
    <m/>
    <n v="141651368"/>
    <n v="141651368"/>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m/>
    <n v="300000000"/>
    <n v="300000000"/>
    <n v="0"/>
    <n v="0"/>
    <x v="11"/>
  </r>
  <r>
    <n v="81112200"/>
    <s v="Adquisición software de grabación de audio y video, así como su adecuación a necesidades de la Dirección Administrativa y Financiera "/>
    <n v="2"/>
    <n v="1"/>
    <s v="CCE-10"/>
    <m/>
    <n v="32640000"/>
    <n v="32640000"/>
    <n v="0"/>
    <n v="0"/>
    <x v="9"/>
  </r>
  <r>
    <n v="83121700"/>
    <s v="Publicar en el Diario Oficial los actos administrativos de carácter general y los demás expedidos por la Administradora de los Recursos del Sistema General de Seguridad Social en Salud -ADRES, que deban ser publicados en dicho medio"/>
    <n v="1"/>
    <n v="11"/>
    <s v="CCE-16"/>
    <m/>
    <n v="60000000"/>
    <n v="60000000"/>
    <n v="0"/>
    <n v="0"/>
    <x v="11"/>
  </r>
  <r>
    <n v="80131502"/>
    <s v="El arrendador del inmueble ubicado en la Avenida Calle 26 No. 69 – 76 de la ciudad de Bogotá entrega para uso y goce a título de arrendamiento de dos (2) plantas de las oficinas identificadas con los números 1701, 1702, 1703, 1704 y 1705, para el funcionamiento de la Entidad Administradora de los Recursos del Sistema General de Seguridad Social en Salud – (ADRES), completamente dotados (incluido el mobiliario) de conformidad con las especificaciones técnicas establecidas por la ADRES."/>
    <n v="7"/>
    <n v="5"/>
    <s v="CCE-16"/>
    <m/>
    <n v="1314952495"/>
    <n v="1314952495"/>
    <n v="0"/>
    <n v="0"/>
    <x v="11"/>
  </r>
  <r>
    <n v="85122201"/>
    <s v="Realizar los exámenes médicos pre-ocupacionales y exámenes médicos post-ocupacionales y exámenes médicos post-incapacidad para los servidores públicos de la Entidad"/>
    <n v="2"/>
    <n v="11"/>
    <s v="CCE-10"/>
    <m/>
    <n v="6000000"/>
    <n v="6000000"/>
    <n v="0"/>
    <n v="0"/>
    <x v="12"/>
  </r>
  <r>
    <n v="55121802"/>
    <s v="Contratar el servicio de elaboración e impresión de carnets de identificación para los funcionarios y contratistas de la Administradora de los Recursos del Sistema General de Seguridad Social en Salud – ADRES, de acuerdo al diseño establecido por la entidad"/>
    <n v="2"/>
    <n v="11"/>
    <s v="CCE-10"/>
    <m/>
    <n v="400000"/>
    <n v="400000"/>
    <n v="0"/>
    <n v="0"/>
    <x v="11"/>
  </r>
  <r>
    <s v="83111507-43231502"/>
    <s v="Prestar los servicios de centro de contacto con el fin de brindar la atención, respuesta inmediata, seguimiento a solicitudes de los ciudadanos, empresas y servidores públicos."/>
    <n v="7"/>
    <n v="5"/>
    <s v="CCE-99"/>
    <m/>
    <n v="228778987.5"/>
    <n v="228778987.5"/>
    <n v="0"/>
    <n v="0"/>
    <x v="11"/>
  </r>
  <r>
    <n v="5512802"/>
    <s v="Suministro de tiquetes aéreos a nivel nacional e internacional para el desplazamiento de servidores públicos y/o contratistas de la Administradora de los Recursos del Sistema General de Seguridad Social en Salud - ADRES"/>
    <n v="7"/>
    <n v="5"/>
    <s v="CCE-99"/>
    <m/>
    <n v="150000000"/>
    <n v="150000000"/>
    <n v="0"/>
    <n v="0"/>
    <x v="11"/>
  </r>
  <r>
    <s v="44111500-4411900-44101800-44121500-44121700-44121800-44121900-44122000-44122100-14111500"/>
    <s v="Suministro y distribución de elementos, útiles de oficina y papelería para las diferentes dependencias de la Entidad"/>
    <n v="7"/>
    <n v="5"/>
    <s v="CCE-99"/>
    <m/>
    <n v="80000000"/>
    <n v="80000000"/>
    <n v="0"/>
    <n v="0"/>
    <x v="11"/>
  </r>
  <r>
    <s v="92101501-92121701"/>
    <s v="Prestación de servicio de vigilancia y seguridad privada para la Administradora de los recursos del Sistema General de Seguridad Social en Salud – ADRES"/>
    <n v="7"/>
    <n v="5"/>
    <s v="CCE-06"/>
    <m/>
    <n v="63000000"/>
    <n v="63000000"/>
    <n v="0"/>
    <n v="0"/>
    <x v="11"/>
  </r>
  <r>
    <n v="93131800"/>
    <s v="Brindar capacitación en temas de gestión de riesgo y manejo de desastre a través de la creación de brigadas en la entidad. "/>
    <n v="2"/>
    <n v="11"/>
    <s v="CCE-10"/>
    <m/>
    <n v="20000000"/>
    <n v="20000000"/>
    <n v="0"/>
    <n v="0"/>
    <x v="11"/>
  </r>
  <r>
    <n v="80161801"/>
    <s v="Prestación del servicio integral de impresión, fotocopiado y digitalización de documentos, incluido el  suministro de equipos, mantenimiento, insumos y el personal de operación que se requiera para atender los requerimientos de las dependencias de la ADRES"/>
    <n v="7"/>
    <n v="5"/>
    <s v="CCE-07"/>
    <m/>
    <n v="60000000"/>
    <n v="60000000"/>
    <n v="0"/>
    <n v="0"/>
    <x v="11"/>
  </r>
  <r>
    <s v="84131500-84131600"/>
    <s v="Contratar la intermediación de seguros y de asesoría integral en la estructuración, contratación y manejo del programa de seguros de la Administradora de los Recursos"/>
    <n v="5"/>
    <n v="7"/>
    <s v="CCE-996"/>
    <m/>
    <n v="0"/>
    <n v="0"/>
    <n v="0"/>
    <m/>
    <x v="11"/>
  </r>
  <r>
    <n v="841315000"/>
    <s v="Contratar los seguros que amparen los intereses patrimoniales actuales y futuros, así como los bienes de propiedad de la administradora de los recursos del sistema general de seguridad social en salud - ADRES, que estén bajo su responsabilidad y custodia y aquellos que sean adquiridos para desarrollar las funciones inherentes a su actividad y cualquier otra póliza de seguros que requiera la entidad en el desarrollo de su actividad"/>
    <n v="7"/>
    <n v="5"/>
    <s v="CCE-06"/>
    <m/>
    <n v="649006531"/>
    <n v="649006531"/>
    <n v="0"/>
    <n v="0"/>
    <x v="11"/>
  </r>
  <r>
    <n v="76111501"/>
    <s v="Prestación estación de servicio integral de aseo y cafetería incluida la maquinaria y el suministro de insumos, que permita mantener en condiciones de salubridad y adecuadas las instalaciones de ADRES ubicada en la Calle 26 No. 69 - 76 Edificio Elemento Torre UNO"/>
    <n v="6"/>
    <n v="6"/>
    <s v="CCE-99"/>
    <m/>
    <n v="108475447"/>
    <n v="108475447"/>
    <n v="0"/>
    <n v="0"/>
    <x v="11"/>
  </r>
  <r>
    <n v="20102301"/>
    <s v="Prestar el servicio de transporte terrestre automotor para el desplazamiento de los funcionarios y contratistas de la Administradora de los Recursos del Sistema General de Seguridad Social en Salud – ADRES, de acuerdo a la necesidad de desplazamiento que se requiera en cumplimiento de deberes institucionales y actividades propias de la entidad_x000a_"/>
    <n v="7"/>
    <n v="1"/>
    <s v="CCE-06"/>
    <m/>
    <n v="170775000"/>
    <n v="170775000"/>
    <n v="0"/>
    <n v="0"/>
    <x v="11"/>
  </r>
  <r>
    <n v="46191601"/>
    <s v="Compra  y carga de  extintores Solkaflam y botiquines de emergencia portátiles para la sede de la Administradora de los Recursos del Sistema General de Seguridad Social en Salud - ADRES "/>
    <n v="2"/>
    <n v="1"/>
    <s v="CCE-10"/>
    <m/>
    <n v="2000000"/>
    <n v="2000000"/>
    <n v="0"/>
    <n v="0"/>
    <x v="11"/>
  </r>
  <r>
    <n v="93151507"/>
    <s v="Implementación de MIPG MECI en cumplimiento de la Ley  Decreto 1595 de 2005, y SIGI (Ley 1712 de 2014)"/>
    <n v="4"/>
    <n v="8"/>
    <s v="CCE-04"/>
    <m/>
    <n v="200000000"/>
    <n v="200000000"/>
    <n v="0"/>
    <n v="0"/>
    <x v="13"/>
  </r>
  <r>
    <n v="931415506"/>
    <s v="Realizar actividades de capacitación, fortalecimiento del programa de bienestar social e incentivos de la ADRES, con el fin de mantener y mejorar las condiciones de los funcionarios de la entidad. "/>
    <n v="2"/>
    <n v="10"/>
    <s v="CCE-06"/>
    <m/>
    <n v="800000000"/>
    <n v="800000000"/>
    <n v="0"/>
    <n v="0"/>
    <x v="12"/>
  </r>
  <r>
    <n v="81111811"/>
    <s v="Mantenimiento,  soporte y capacitación a la herramienta informática de nómina, recurso humano así como el enlace al ERP "/>
    <n v="11"/>
    <n v="1"/>
    <s v="CCE-06"/>
    <m/>
    <n v="62099999.999999993"/>
    <n v="62099999.999999993"/>
    <n v="0"/>
    <n v="0"/>
    <x v="12"/>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1"/>
    <n v="8"/>
    <s v="CCE-16"/>
    <m/>
    <n v="51523280"/>
    <n v="5152328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1"/>
    <n v="8"/>
    <s v="CCE-16"/>
    <m/>
    <n v="32640000"/>
    <n v="3264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1"/>
    <n v="8"/>
    <s v="CCE-16"/>
    <m/>
    <n v="18586936"/>
    <n v="18586936"/>
    <n v="0"/>
    <n v="0"/>
    <x v="12"/>
  </r>
  <r>
    <n v="80111702"/>
    <s v="Realizar el estudio de seguridad, visita domiciliaria y verificación de la información de la Hoja de Vida y antecedentes financieros de los funcionarios de la entidad. "/>
    <n v="2"/>
    <n v="10"/>
    <s v="CCE-10"/>
    <m/>
    <n v="17000000"/>
    <n v="17000000"/>
    <n v="0"/>
    <n v="0"/>
    <x v="12"/>
  </r>
  <r>
    <n v="78102201"/>
    <s v="Prestación del servicio de gestión de correspondencia, mensajería expresa masiva para la Administradora de los Recursos del Sistema de Seguridad Social en Salud-ADRES y de  gestión documental en el archivo de la entidad. "/>
    <n v="6"/>
    <n v="6"/>
    <s v="CCE-99"/>
    <m/>
    <n v="497391434"/>
    <n v="497391434"/>
    <n v="0"/>
    <n v="0"/>
    <x v="11"/>
  </r>
  <r>
    <n v="82101801"/>
    <s v=" Conceptualización, diseño y ejecución de estrategias de campaña Marketing para la ADRES."/>
    <n v="1"/>
    <n v="10"/>
    <s v="CCE-04"/>
    <m/>
    <n v="500000000"/>
    <n v="500000000"/>
    <n v="0"/>
    <n v="0"/>
    <x v="14"/>
  </r>
  <r>
    <n v="82101504"/>
    <s v="Contratar la publicación en un diario de amplia circulación, con el fin de dar cumplimiento a lo señalado en el artículo 115 del Decreto 019 de 2012."/>
    <n v="2"/>
    <n v="10"/>
    <s v="CCE-06 "/>
    <m/>
    <n v="40000000"/>
    <n v="40000000"/>
    <n v="0"/>
    <n v="0"/>
    <x v="11"/>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9293468"/>
    <n v="9293468"/>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3488584"/>
    <n v="13488584"/>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relacionadas con el análisis financiero, en las áreas, de recaudo, de tesorería y contabilidad, así como del soporte a las operaciones de registro y control de los recursos del Sistema General de Seguridad Social en Salud que administra la ADRES en cumplimiento de lo establecido por los artículos 66 y 67 de la Ley 1753 de 2015."/>
    <n v="8"/>
    <n v="4"/>
    <s v="CCE-16"/>
    <n v="1"/>
    <n v="16320000"/>
    <n v="16320000"/>
    <n v="0"/>
    <n v="0"/>
    <x v="0"/>
  </r>
  <r>
    <n v="93151501"/>
    <s v="Apoyar técnicamente las actividades, planes, programas y demás acciones relacionadas con la gestión y las operaciones presupuestales, contables y de tesorería de los recursos financieros del  Sistema General de Seguridad Social en Salud, que administra la ADRES en cumplimiento de lo establecido por los artículos 66 y 67 de la Ley 1753 de 2015"/>
    <n v="8"/>
    <n v="4"/>
    <s v="CCE-16"/>
    <n v="1"/>
    <n v="20547356"/>
    <n v="20547356"/>
    <n v="0"/>
    <n v="0"/>
    <x v="0"/>
  </r>
  <r>
    <n v="93151501"/>
    <s v="Apoyar el levantamiento de procesos al interior de la ADRES, de acuerdo a lo definido en MIPG, alineado con el decreto 1429 de 2017, brindando acompañamiento y asesoría en actividades relacionadas con requerimientos que la Oficina de Planeación y Control de Riesgos requiera con el fin de planear, hacer verificar y Actuar con respecto a lineamientos, normas y leyes que de acuerdo a la normatividad vigente aplique para la Administradora de los recursos del Sistema General de Seguridad Social en Salud ADRES"/>
    <n v="8"/>
    <n v="4"/>
    <s v="CCE-16"/>
    <n v="1"/>
    <n v="20547356"/>
    <n v="20547356"/>
    <n v="0"/>
    <n v="0"/>
    <x v="13"/>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de la liquidación y reconocimiento de prestaciones económicas a los afiliados  al régimen contributivo y a los regímenes especial y exceptuado con ingresos adicionales"/>
    <n v="8"/>
    <n v="4"/>
    <s v="CCE-16"/>
    <n v="1"/>
    <n v="16320000"/>
    <n v="16320000"/>
    <n v="0"/>
    <n v="0"/>
    <x v="2"/>
  </r>
  <r>
    <n v="8111801"/>
    <s v="Apoyar a la Dirección de Liquidaciones y Garantías de la ADRES en el desarrollo de las actividades del proceso de reintegro de recursos apropiados sin justa causa"/>
    <n v="8"/>
    <n v="4"/>
    <s v="CCE-16"/>
    <n v="1"/>
    <n v="16320000"/>
    <n v="16320000"/>
    <n v="0"/>
    <n v="0"/>
    <x v="2"/>
  </r>
  <r>
    <n v="80101604"/>
    <s v="Apoyar a la Dirección de Liquidaciones y Garantías de la ADRES en el desarrollo de las actividades de liquidación y reconocimiento de prestaciones económicas y devolución de aportes a los afiliados  al régimen especial y exceptuado."/>
    <n v="8"/>
    <n v="4"/>
    <s v="CCE-16"/>
    <n v="1"/>
    <n v="20547356"/>
    <n v="20547356"/>
    <n v="0"/>
    <n v="0"/>
    <x v="2"/>
  </r>
  <r>
    <n v="8111801"/>
    <s v="Apoyar a la Dirección de Liquidaciones y Garantías de la ADRES en el desarrollo de las actividades de los procesos de compensación del régimen contributivo de salud y sus procesos complementarios y de la liquidación y reconocimiento de prestaciones económicas a los afiliados  al régimen contributivo y a los regímenes especial y exceptuado con ingresos adicionales"/>
    <n v="8"/>
    <n v="4"/>
    <s v="CCE-16"/>
    <m/>
    <n v="20547356"/>
    <n v="20547356"/>
    <n v="0"/>
    <n v="0"/>
    <x v="2"/>
  </r>
  <r>
    <n v="81111811"/>
    <s v="Apoyar técnicamente a la Entidad en los procesos relacionados con el soporte a la infraestructura tecnológica, conectividad, de ofimática y periféricos, que permiten el normal funcionamiento de sus operaciones en la sede de la misma."/>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01"/>
    <s v="Apoyar la gestión de los procesos y procedimientos misionales y tecnológicos de la Base de Datos Única de Afiliados – BDUA brindando la asistencia técnica necesaria a los actores del proceso bajo la normativa vigente."/>
    <n v="8"/>
    <n v="4"/>
    <s v="CCE-16"/>
    <n v="1"/>
    <n v="16320000"/>
    <n v="16320000"/>
    <n v="0"/>
    <n v="0"/>
    <x v="4"/>
  </r>
  <r>
    <n v="81111811"/>
    <s v="Apoyar técnicamente a la Dirección de Gestión de Tecnologías de Información y Comunicaciones en el proceso de desarrollo, soporte, mantenimiento, actualización e integración de los aplicativos que soportan las operaciones misionales de la Entidad"/>
    <n v="8"/>
    <n v="4"/>
    <s v="CCE-16"/>
    <n v="1"/>
    <n v="16320000"/>
    <n v="16320000"/>
    <n v="0"/>
    <n v="0"/>
    <x v="4"/>
  </r>
  <r>
    <n v="81111811"/>
    <s v="Apoyar a la Dirección de Gestión de Tecnologías de Información y Comunicaciones en el proceso de desarrollo, soporte, mantenimiento, actualización e integración de los aplicativos que soportan las operaciones misionales de la Entidad"/>
    <n v="8"/>
    <n v="4"/>
    <s v="CCE-16"/>
    <n v="1"/>
    <n v="17721628"/>
    <n v="17721628"/>
    <n v="0"/>
    <n v="0"/>
    <x v="4"/>
  </r>
  <r>
    <n v="931515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mantenimiento, actualización e integración del software que soporta los procesos de auditoría integral en salud, jurídica y financiera a los recobros por servicios y tecnología no POS y reclamaciones por accidentes de tránsito y eventos catastróficos y terroristas."/>
    <n v="8"/>
    <n v="4"/>
    <s v="CCE-16"/>
    <n v="1"/>
    <n v="32125220"/>
    <n v="32125220"/>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n v="81111801"/>
    <s v="Apoyar a la Entidad en el proceso de soporte a usuarios y mantenimiento del software que soporta los procesos de auditoría integral en salud, jurídica y financiera a los recobros por servicios y tecnología NO POS y reclamaciones por accidentes de tránsito y eventos catastróficos y terroristas"/>
    <n v="8"/>
    <n v="4"/>
    <s v="CCE-16"/>
    <n v="1"/>
    <n v="20547356"/>
    <n v="20547356"/>
    <n v="0"/>
    <n v="0"/>
    <x v="4"/>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s v="93151501  - 85101701"/>
    <s v="Apoyar técnicamente a la Dirección de Otras Prestaciones de la ADRES con la supervisión de los contratos suscritos para adelantar la auditoría integral de otras prestaciones por conceptos de los servicios de salud determinados por el Ministerio de Salud y Protección Social; de las prestaciones de servicios de salud a víctimas de eventos de origen natural, de eventos terroristas y de las víctimas de accidentes de tránsito cuando no exista cobertura por parte del SOAT así como con el seguimiento de los procesos de preradicación, radicación, preauditoría, auditoría integral, a fin de avalar el reconocimiento y pago de otras prestaciones y de reclamaciones e indemnizaciones a las víctimas de eventos de origen natural, de eventos terroristas y de las víctimas de accidentes de tránsito cuando no exista cobertura por parte del SOAT"/>
    <n v="8"/>
    <n v="4"/>
    <s v="CCE-16"/>
    <n v="1"/>
    <n v="16320000"/>
    <n v="16320000"/>
    <n v="0"/>
    <n v="0"/>
    <x v="5"/>
  </r>
  <r>
    <n v="81112002"/>
    <s v="Apoyar a la Dirección de Otras Prestaciones de la ADRES con el análisis, verificación y cruce de la información de las fuentes internas y externas, involucradas en los procesos de recobros y reclamaciones, efectuando las validaciones que se consideren pertinente al interior del proceso "/>
    <n v="8"/>
    <n v="4"/>
    <s v="CCE-16"/>
    <n v="1"/>
    <n v="16320000"/>
    <n v="16320000"/>
    <n v="0"/>
    <n v="0"/>
    <x v="5"/>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13488584"/>
    <n v="13488584"/>
    <n v="0"/>
    <n v="0"/>
    <x v="6"/>
  </r>
  <r>
    <n v="80121700"/>
    <s v="Tramitar las acciones constitucionales y demás asuntos derivados de éstas, que se instauren contra la Administradora de los Recursos del Sistema General de Seguridad Social en Salud - ADRES o contra el entonces FOSYGA y representar extrajudicialmente a la entidad cuando así lo requiera "/>
    <n v="8"/>
    <n v="4"/>
    <s v="CCE-16"/>
    <n v="1"/>
    <n v="25761640"/>
    <n v="25761640"/>
    <n v="0"/>
    <n v="0"/>
    <x v="6"/>
  </r>
  <r>
    <n v="93151507"/>
    <s v="Prestación de servicios de apoyo técnico a la Oficina Asesora Jurídica, Grupo de Acciones Constitucionales en asuntos relacionados con el mismo ( tutelas, sentencias e incidentes), provenientes de los Despachos Judiciales a nivel nacional, con fundamento en las normas constitucionales y legales vigentes. "/>
    <n v="8"/>
    <n v="4"/>
    <s v="CCE-16"/>
    <n v="1"/>
    <n v="9293468"/>
    <n v="9293468"/>
    <n v="0"/>
    <n v="0"/>
    <x v="6"/>
  </r>
  <r>
    <n v="93151507"/>
    <s v="Apoyo a la Oficina Asesora Jurídica de la ADRES en actividades que tienen que ver con el registro, clasificación y control de la documentación en las bases de datos destinadas para esta finalidad y manejo de correspondencia. "/>
    <n v="8"/>
    <n v="4"/>
    <s v="CCE-16"/>
    <n v="1"/>
    <n v="9293468"/>
    <n v="9293468"/>
    <n v="0"/>
    <n v="0"/>
    <x v="6"/>
  </r>
  <r>
    <n v="801617000"/>
    <s v="Tramitar consultas y peticiones de carácter jurídico y frente al contenido de actos administrativos y mantener actualizada la información de normas constitucionales y legales y demás asuntos de competencia de la ADRES."/>
    <n v="8"/>
    <n v="4"/>
    <s v="CCE-16"/>
    <n v="1"/>
    <n v="17721628"/>
    <n v="17721628"/>
    <n v="0"/>
    <n v="0"/>
    <x v="6"/>
  </r>
  <r>
    <n v="80121700"/>
    <s v="Apoyar a la Oficina Asesora Jurídica en dar respuesta a los recursos o revocatorias directas contra los actos administrativos expedidos por Colpensiones, derechos de petición, reclamaciones administrativas, solicitudes de ampliación de medidas de embargo y en general las actuaciones jurídicas relacionadas con las funciones de la entidad. "/>
    <n v="8"/>
    <n v="4"/>
    <s v="CCE-16"/>
    <n v="1"/>
    <n v="17721628"/>
    <n v="17721628"/>
    <n v="0"/>
    <n v="0"/>
    <x v="7"/>
  </r>
  <r>
    <n v="80121700"/>
    <s v="Apoyar a la Oficina Asesora Jurídica en dar respuesta a los recursos o revocatorias directas contra los actos administrativos expedidos por Colpensiones, derechos de petición, reclamaciones administrativas, solicitudes de aplicación de medidas de embargo y en general las actuaciones jurídicas relacionadas con las funciones de la entidad. "/>
    <n v="8"/>
    <n v="4"/>
    <s v="CCE-16"/>
    <n v="1"/>
    <n v="16320000"/>
    <n v="16320000"/>
    <n v="0"/>
    <n v="0"/>
    <x v="7"/>
  </r>
  <r>
    <n v="80121500"/>
    <s v="Ejercer la representación judicial en los procesos penales en que sea parte la Administradora de los Recursos del Sistema General de Seguridad Social en Salud – Administradora de los Recursos del Sistema General de Seguridad Social en Salud - ADRES."/>
    <n v="8"/>
    <n v="4"/>
    <s v="CCE-16"/>
    <n v="1"/>
    <n v="54572288"/>
    <n v="54572288"/>
    <n v="0"/>
    <n v="0"/>
    <x v="7"/>
  </r>
  <r>
    <n v="80121706"/>
    <s v="Ejercer la representación judicial y extrajudicial en los procesos en que sea parte la Administradora de los Recursos del Sistema General de Seguridad Social en Salud – ADRES o contra el entonces FOSYGA "/>
    <n v="8"/>
    <n v="4"/>
    <s v="CCE-16"/>
    <n v="1"/>
    <n v="38229008"/>
    <n v="38229008"/>
    <n v="0"/>
    <n v="0"/>
    <x v="7"/>
  </r>
  <r>
    <n v="80121706"/>
    <s v="Ejercer la representación judicial y extrajudicial en los procesos en que sea parte a Administradora de los Recursos del Sistema General de Seguridad Social en Salud - ADRES o contra el entonces FOSYGA en los Departamentos de Valle del Cauca, Cauca y Nariño"/>
    <n v="8"/>
    <n v="4"/>
    <s v="CCE-16"/>
    <n v="1"/>
    <n v="32125220"/>
    <n v="32125220"/>
    <n v="0"/>
    <n v="0"/>
    <x v="7"/>
  </r>
  <r>
    <n v="80121706"/>
    <s v="Ejercer la representación judicial y extrajudicial en los procesos en que sea parte a Administradora de los Recursos del Sistema General de Seguridad Social en Salud - ADRES o contra el entonces FOSYGA en el  Departamentos de Antioquia"/>
    <n v="8"/>
    <n v="4"/>
    <s v="CCE-16"/>
    <n v="1"/>
    <n v="33478540"/>
    <n v="33478540"/>
    <n v="0"/>
    <n v="0"/>
    <x v="7"/>
  </r>
  <r>
    <n v="80121706"/>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8229008"/>
    <n v="38229008"/>
    <n v="0"/>
    <n v="0"/>
    <x v="7"/>
  </r>
  <r>
    <n v="80121700"/>
    <s v="Ejercer la representación judicial y extrajudicial en los procesos en que sea parte la Administradora de los Recursos del Sistema General de Seguridad Social en Salud – ADRES o contra el entonces FOSYGA y brindar los conceptos que sobre la materia le requiera la Oficina Asesora Jurídica"/>
    <n v="8"/>
    <n v="4"/>
    <s v="CCE-16"/>
    <n v="1"/>
    <n v="32125220"/>
    <n v="32125220"/>
    <n v="0"/>
    <n v="0"/>
    <x v="7"/>
  </r>
  <r>
    <n v="80121700"/>
    <s v="Apoyar a la Oficina Asesora Jurídica en las actividades relacionadas con el ejercicio de las funciones de la Secretaría Técnica  del Comité de Conciliación; así como en las actividades asociadas en la funcionalidad, registro y control del Sistema Único de Gestión e información de la actividad litigiosa del Estado - Ekoqui. "/>
    <n v="8"/>
    <n v="4"/>
    <s v="CCE-16"/>
    <n v="1"/>
    <n v="17721628"/>
    <n v="17721628"/>
    <n v="0"/>
    <n v="0"/>
    <x v="7"/>
  </r>
  <r>
    <n v="93151507"/>
    <s v="Apoyar a la Oficina Asesora Jurídica de la ADRES en las actividades administrativas derivadas de la función de defensa judicial y extrajudicial de la Entidad"/>
    <n v="8"/>
    <n v="4"/>
    <s v="CCE-16"/>
    <n v="1"/>
    <n v="16320000"/>
    <n v="16320000"/>
    <n v="0"/>
    <n v="0"/>
    <x v="7"/>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93151507"/>
    <s v="Adelantar las actividades técnicas requeridas por la Oficina Asesora Jurídica para el cumplimiento de la gestión de la Administradora de los Recursos del Sistema General de Seguridad Social en Salud - ADRES"/>
    <n v="8"/>
    <n v="4"/>
    <s v="CCE-16"/>
    <n v="1"/>
    <n v="9293468"/>
    <n v="9293468"/>
    <n v="0"/>
    <n v="0"/>
    <x v="8"/>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80121704"/>
    <s v="Apoyar y asesorar a la Dirección Administrativa y Financiera de la Administradora de los Recursos del Sistema General de Seguridad Social en Salud - ADRES en asuntos precontractuales, contractuales y postcontractuales que se requieran, así como las demás funciones propias de dicha Dirección"/>
    <n v="8"/>
    <n v="4"/>
    <s v="CCE-16"/>
    <n v="1"/>
    <n v="32125220"/>
    <n v="32125220"/>
    <n v="0"/>
    <n v="0"/>
    <x v="9"/>
  </r>
  <r>
    <n v="93151507"/>
    <s v="Brindar asesoría y acompañamiento jurídico a la Administradora de los Recursos del Sistema General de la Seguridad Social en Salud – ADRES en los temas derivados de la actividad jurídica, judicial y contractual que adelanta la entidad."/>
    <n v="8"/>
    <n v="4"/>
    <s v="CCE-16"/>
    <n v="1"/>
    <n v="70825684"/>
    <n v="70825684"/>
    <n v="0"/>
    <n v="0"/>
    <x v="10"/>
  </r>
  <r>
    <n v="80121704"/>
    <s v="Prestación de servicios de asesoría jurídica y acompañamiento a la Administradora de los Recursos del Sistema General de Seguridad Social en Salud - ADRES - en el estudio, análisis y definición del procedimiento administrativo y/o de las actuaciones que deban adelantarse y de las decisiones que deban proferirse en sede administrativa por razón y/o con ocasión de las circunstancias que han sobrevenido a la adjudicación del Concurso de Méritos Abierto CMA-DAFPS-001-2017 cuyo objeto lo constituyó &quot;la contratación de la auditoría integral en salud, jurídica y financiera a las solicitudes de recobro por servicios y tecnologías no incluidas en el Plan de Beneficios en Salud con cargo a la UPC y a las reclamaciones por los eventos de que trata el Artículo 167 de la Ley 100 de 1993 con cargo a los recursos del que fue el Fondo de Solidaridad y Garantía - FOSYGA - del Sistema General de Seguridad Social en Salud&quot;. El presente contrato de prestación de servicios profesionales no incluye la atención de actuaciones o procesos judiciales ni comporta la obligación de llevar la representación judicial de la ADRES"/>
    <n v="8"/>
    <n v="4"/>
    <s v="CCE-16"/>
    <n v="1"/>
    <n v="300000000"/>
    <n v="300000000"/>
    <n v="0"/>
    <n v="0"/>
    <x v="10"/>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1"/>
    <n v="8"/>
    <s v="CCE-16"/>
    <n v="1"/>
    <n v="32640000"/>
    <n v="32640000"/>
    <n v="0"/>
    <n v="0"/>
    <x v="11"/>
  </r>
  <r>
    <n v="80111501"/>
    <s v="Apoyar a la Dirección Administrativa y Financiera, en la gestión y seguimiento de las situaciones y novedades administrativas que tienen afectación en la liquidación de la nómina, prestaciones sociales y demás reconocimientos económicos del personal de la ADRES. "/>
    <n v="8"/>
    <n v="4"/>
    <s v="CCE-16"/>
    <n v="1"/>
    <n v="25761640"/>
    <n v="25761640"/>
    <n v="0"/>
    <n v="0"/>
    <x v="12"/>
  </r>
  <r>
    <n v="80111620"/>
    <s v="Apoyar a la Dirección Administrativa y Financiera en las actividades correspondientes a la generación de certificaciones laborales de los funcionarios activos e inactivos, certificaciones dirigidas a entidades bancarias, certificaciones solicitadas por los entes de control, así como la actualización, foliación y archivo de los documentos generados con ocasión de las diferentes novedades producidas durante el ingreso permanencia y retiro del personal vinculado a la entidad así como las demás actividades que se deriven de la gestión para el desarrollo del Talento Humano"/>
    <n v="8"/>
    <n v="4"/>
    <s v="CCE-16"/>
    <n v="1"/>
    <n v="16320000"/>
    <n v="16320000"/>
    <n v="0"/>
    <n v="0"/>
    <x v="12"/>
  </r>
  <r>
    <n v="80111620"/>
    <s v="Apoyar a la Dirección Administrativa y Financiera en las actividades operativas dirigidas a la Gestión Documental hojas de vida y demás documentos generados por ocasión de las novedades de personal, de la Administradora de los Recursos del Sistema General de Seguridad Social en Salud – ADRES"/>
    <n v="8"/>
    <n v="4"/>
    <s v="CCE-16"/>
    <n v="1"/>
    <n v="9293468"/>
    <n v="9293468"/>
    <n v="0"/>
    <n v="0"/>
    <x v="12"/>
  </r>
  <r>
    <m/>
    <m/>
    <m/>
    <m/>
    <m/>
    <m/>
    <n v="47311456995.5"/>
    <n v="47311456995.5"/>
    <m/>
    <m/>
    <x v="13"/>
  </r>
  <r>
    <n v="83121704"/>
    <s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 "/>
    <n v="9"/>
    <n v="4"/>
    <s v="CCE-16"/>
    <n v="1"/>
    <n v="16320000"/>
    <n v="16320000"/>
    <n v="0"/>
    <n v="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9" firstHeaderRow="1" firstDataRow="1" firstDataCol="1"/>
  <pivotFields count="11">
    <pivotField subtotalTop="0" showAll="0"/>
    <pivotField subtotalTop="0" showAll="0"/>
    <pivotField subtotalTop="0" showAll="0"/>
    <pivotField subtotalTop="0" showAll="0"/>
    <pivotField subtotalTop="0" showAll="0"/>
    <pivotField subtotalTop="0" showAll="0"/>
    <pivotField dataField="1" numFmtId="41" subtotalTop="0" showAll="0"/>
    <pivotField numFmtId="41" subtotalTop="0" showAll="0"/>
    <pivotField subtotalTop="0" showAll="0"/>
    <pivotField subtotalTop="0" showAll="0"/>
    <pivotField axis="axisRow" subtotalTop="0" showAll="0">
      <items count="16">
        <item x="11"/>
        <item x="9"/>
        <item x="12"/>
        <item x="0"/>
        <item x="4"/>
        <item x="3"/>
        <item x="2"/>
        <item x="14"/>
        <item x="5"/>
        <item x="1"/>
        <item x="10"/>
        <item x="6"/>
        <item x="8"/>
        <item x="7"/>
        <item x="13"/>
        <item t="default"/>
      </items>
    </pivotField>
  </pivotFields>
  <rowFields count="1">
    <field x="10"/>
  </rowFields>
  <rowItems count="16">
    <i>
      <x/>
    </i>
    <i>
      <x v="1"/>
    </i>
    <i>
      <x v="2"/>
    </i>
    <i>
      <x v="3"/>
    </i>
    <i>
      <x v="4"/>
    </i>
    <i>
      <x v="5"/>
    </i>
    <i>
      <x v="6"/>
    </i>
    <i>
      <x v="7"/>
    </i>
    <i>
      <x v="8"/>
    </i>
    <i>
      <x v="9"/>
    </i>
    <i>
      <x v="10"/>
    </i>
    <i>
      <x v="11"/>
    </i>
    <i>
      <x v="12"/>
    </i>
    <i>
      <x v="13"/>
    </i>
    <i>
      <x v="14"/>
    </i>
    <i t="grand">
      <x/>
    </i>
  </rowItems>
  <colItems count="1">
    <i/>
  </colItems>
  <dataFields count="1">
    <dataField name="Suma de Valor total estimado "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152"/>
  <sheetViews>
    <sheetView topLeftCell="D1" zoomScale="90" zoomScaleNormal="90" workbookViewId="0">
      <pane ySplit="8" topLeftCell="A80" activePane="bottomLeft" state="frozen"/>
      <selection pane="bottomLeft" activeCell="F152" sqref="F152"/>
    </sheetView>
  </sheetViews>
  <sheetFormatPr baseColWidth="10" defaultRowHeight="15" x14ac:dyDescent="0.25"/>
  <cols>
    <col min="2" max="2" width="35.5703125" customWidth="1"/>
    <col min="3" max="3" width="16.5703125" customWidth="1"/>
    <col min="4" max="4" width="40.5703125" customWidth="1"/>
    <col min="5" max="5" width="12.85546875" bestFit="1" customWidth="1"/>
    <col min="6" max="6" width="35.7109375" customWidth="1"/>
    <col min="7" max="7" width="12.85546875" style="14" bestFit="1" customWidth="1"/>
    <col min="8" max="8" width="12.140625" bestFit="1" customWidth="1"/>
    <col min="9" max="9" width="14.5703125" bestFit="1" customWidth="1"/>
    <col min="10" max="10" width="35.7109375" customWidth="1"/>
    <col min="11" max="11" width="26.85546875" customWidth="1"/>
    <col min="12" max="12" width="11.42578125" customWidth="1"/>
    <col min="13" max="13" width="21.42578125" customWidth="1"/>
    <col min="14" max="15" width="18.140625" customWidth="1"/>
    <col min="16" max="16" width="20.140625" customWidth="1"/>
    <col min="17" max="17" width="19.140625" customWidth="1"/>
    <col min="18" max="18" width="14.5703125" customWidth="1"/>
    <col min="19" max="19" width="17.5703125" customWidth="1"/>
    <col min="20" max="20" width="21.5703125" customWidth="1"/>
    <col min="21" max="21" width="12.140625" bestFit="1" customWidth="1"/>
    <col min="22" max="22" width="29.42578125" customWidth="1"/>
    <col min="23" max="23" width="25" customWidth="1"/>
    <col min="24" max="24" width="21.140625" bestFit="1" customWidth="1"/>
    <col min="25" max="25" width="12.140625" bestFit="1" customWidth="1"/>
    <col min="26" max="26" width="26.85546875" customWidth="1"/>
    <col min="27" max="27" width="24.85546875" customWidth="1"/>
    <col min="28" max="28" width="12.140625" bestFit="1" customWidth="1"/>
    <col min="29" max="29" width="24.5703125" customWidth="1"/>
    <col min="30" max="30" width="9.140625" customWidth="1"/>
    <col min="31" max="31" width="14" bestFit="1" customWidth="1"/>
    <col min="32" max="32" width="8.42578125" customWidth="1"/>
    <col min="33" max="33" width="14" bestFit="1" customWidth="1"/>
    <col min="34" max="34" width="12.140625" bestFit="1" customWidth="1"/>
    <col min="35" max="35" width="26.85546875" customWidth="1"/>
    <col min="36" max="36" width="24.85546875" customWidth="1"/>
    <col min="37" max="37" width="12.140625" bestFit="1" customWidth="1"/>
    <col min="38" max="38" width="24.85546875" customWidth="1"/>
    <col min="39" max="39" width="8.42578125" customWidth="1"/>
    <col min="40" max="40" width="14" bestFit="1" customWidth="1"/>
    <col min="41" max="41" width="8.7109375" bestFit="1" customWidth="1"/>
    <col min="42" max="42" width="14" bestFit="1" customWidth="1"/>
    <col min="43" max="43" width="12.140625" bestFit="1" customWidth="1"/>
    <col min="44" max="44" width="26.85546875" customWidth="1"/>
    <col min="45" max="45" width="24.85546875" customWidth="1"/>
    <col min="46" max="46" width="12.140625" bestFit="1" customWidth="1"/>
    <col min="47" max="47" width="24.85546875" customWidth="1"/>
    <col min="48" max="48" width="8.42578125" customWidth="1"/>
    <col min="49" max="49" width="14" bestFit="1" customWidth="1"/>
    <col min="50" max="50" width="8.42578125" bestFit="1" customWidth="1"/>
    <col min="51" max="51" width="14" bestFit="1" customWidth="1"/>
    <col min="52" max="52" width="12.140625" bestFit="1" customWidth="1"/>
    <col min="53" max="53" width="26.85546875" customWidth="1"/>
    <col min="54" max="54" width="24.85546875" customWidth="1"/>
    <col min="55" max="55" width="12.140625" bestFit="1" customWidth="1"/>
    <col min="56" max="56" width="24.85546875" customWidth="1"/>
    <col min="57" max="57" width="9.140625" bestFit="1" customWidth="1"/>
    <col min="58" max="58" width="14" bestFit="1" customWidth="1"/>
    <col min="59" max="59" width="8.42578125" bestFit="1" customWidth="1"/>
    <col min="60" max="60" width="14" bestFit="1" customWidth="1"/>
    <col min="61" max="62" width="11.140625" customWidth="1"/>
    <col min="69" max="69" width="54" customWidth="1"/>
  </cols>
  <sheetData>
    <row r="2" spans="1:69" x14ac:dyDescent="0.25">
      <c r="D2" s="626" t="s">
        <v>126</v>
      </c>
      <c r="E2" s="626"/>
      <c r="F2" s="626"/>
      <c r="G2" s="626"/>
      <c r="H2" s="626"/>
      <c r="I2" s="626"/>
      <c r="J2" s="626"/>
      <c r="K2" s="626"/>
      <c r="L2" s="626"/>
      <c r="M2" s="626"/>
    </row>
    <row r="3" spans="1:69" x14ac:dyDescent="0.25">
      <c r="D3" s="626" t="s">
        <v>125</v>
      </c>
      <c r="E3" s="626"/>
      <c r="F3" s="626"/>
      <c r="G3" s="626"/>
      <c r="H3" s="626"/>
      <c r="I3" s="626"/>
      <c r="J3" s="626"/>
      <c r="K3" s="626"/>
      <c r="L3" s="626"/>
      <c r="M3" s="626"/>
      <c r="BI3" s="4"/>
    </row>
    <row r="4" spans="1:69" x14ac:dyDescent="0.25">
      <c r="D4" s="626" t="s">
        <v>140</v>
      </c>
      <c r="E4" s="626"/>
      <c r="F4" s="626"/>
      <c r="G4" s="626"/>
      <c r="H4" s="626"/>
      <c r="I4" s="626"/>
      <c r="J4" s="626"/>
      <c r="K4" s="626"/>
      <c r="L4" s="626"/>
      <c r="M4" s="626"/>
      <c r="N4" s="48"/>
    </row>
    <row r="5" spans="1:69" x14ac:dyDescent="0.25">
      <c r="K5" s="20"/>
      <c r="M5" s="20"/>
    </row>
    <row r="6" spans="1:69" ht="15" customHeight="1" x14ac:dyDescent="0.25">
      <c r="Y6" s="627" t="s">
        <v>8</v>
      </c>
      <c r="Z6" s="627"/>
      <c r="AA6" s="627"/>
      <c r="AB6" s="627"/>
      <c r="AC6" s="627"/>
      <c r="AD6" s="627"/>
      <c r="AE6" s="627"/>
      <c r="AF6" s="627" t="s">
        <v>7</v>
      </c>
      <c r="AG6" s="627"/>
      <c r="AH6" s="629" t="s">
        <v>9</v>
      </c>
      <c r="AI6" s="629"/>
      <c r="AJ6" s="629"/>
      <c r="AK6" s="629"/>
      <c r="AL6" s="629"/>
      <c r="AM6" s="629"/>
      <c r="AN6" s="629"/>
      <c r="AO6" s="629" t="s">
        <v>7</v>
      </c>
      <c r="AP6" s="629"/>
      <c r="AQ6" s="627" t="s">
        <v>10</v>
      </c>
      <c r="AR6" s="627"/>
      <c r="AS6" s="627"/>
      <c r="AT6" s="627"/>
      <c r="AU6" s="627"/>
      <c r="AV6" s="627"/>
      <c r="AW6" s="627"/>
      <c r="AX6" s="627" t="s">
        <v>7</v>
      </c>
      <c r="AY6" s="627"/>
      <c r="AZ6" s="629" t="s">
        <v>11</v>
      </c>
      <c r="BA6" s="629"/>
      <c r="BB6" s="629"/>
      <c r="BC6" s="629"/>
      <c r="BD6" s="629"/>
      <c r="BE6" s="629"/>
      <c r="BF6" s="629"/>
      <c r="BG6" s="629" t="s">
        <v>7</v>
      </c>
      <c r="BH6" s="629"/>
      <c r="BI6" s="630" t="s">
        <v>118</v>
      </c>
      <c r="BJ6" s="631"/>
      <c r="BK6" s="631"/>
      <c r="BL6" s="631"/>
      <c r="BM6" s="631"/>
      <c r="BN6" s="631"/>
      <c r="BO6" s="631"/>
      <c r="BP6" s="631"/>
    </row>
    <row r="7" spans="1:69" ht="23.25" customHeight="1" x14ac:dyDescent="0.25">
      <c r="A7" s="11"/>
      <c r="B7" s="11"/>
      <c r="U7" s="628" t="s">
        <v>129</v>
      </c>
      <c r="V7" s="629"/>
      <c r="W7" s="629"/>
      <c r="X7" s="629"/>
      <c r="Y7" s="627" t="s">
        <v>130</v>
      </c>
      <c r="Z7" s="627"/>
      <c r="AA7" s="627"/>
      <c r="AB7" s="627" t="s">
        <v>18</v>
      </c>
      <c r="AC7" s="627"/>
      <c r="AD7" s="627" t="s">
        <v>19</v>
      </c>
      <c r="AE7" s="627"/>
      <c r="AF7" s="627"/>
      <c r="AG7" s="627"/>
      <c r="AH7" s="629" t="s">
        <v>130</v>
      </c>
      <c r="AI7" s="629"/>
      <c r="AJ7" s="629"/>
      <c r="AK7" s="629" t="s">
        <v>18</v>
      </c>
      <c r="AL7" s="629"/>
      <c r="AM7" s="629" t="s">
        <v>19</v>
      </c>
      <c r="AN7" s="629"/>
      <c r="AO7" s="629"/>
      <c r="AP7" s="629"/>
      <c r="AQ7" s="627" t="s">
        <v>130</v>
      </c>
      <c r="AR7" s="627"/>
      <c r="AS7" s="627"/>
      <c r="AT7" s="627" t="s">
        <v>18</v>
      </c>
      <c r="AU7" s="627"/>
      <c r="AV7" s="627" t="s">
        <v>19</v>
      </c>
      <c r="AW7" s="627"/>
      <c r="AX7" s="627"/>
      <c r="AY7" s="627"/>
      <c r="AZ7" s="629" t="s">
        <v>130</v>
      </c>
      <c r="BA7" s="629"/>
      <c r="BB7" s="629"/>
      <c r="BC7" s="629" t="s">
        <v>18</v>
      </c>
      <c r="BD7" s="629"/>
      <c r="BE7" s="629" t="s">
        <v>19</v>
      </c>
      <c r="BF7" s="629"/>
      <c r="BG7" s="629"/>
      <c r="BH7" s="629"/>
      <c r="BI7" s="632" t="s">
        <v>8</v>
      </c>
      <c r="BJ7" s="632"/>
      <c r="BK7" s="632" t="s">
        <v>9</v>
      </c>
      <c r="BL7" s="632"/>
      <c r="BM7" s="632" t="s">
        <v>10</v>
      </c>
      <c r="BN7" s="632"/>
      <c r="BO7" s="632" t="s">
        <v>11</v>
      </c>
      <c r="BP7" s="632"/>
    </row>
    <row r="8" spans="1:69" ht="46.5" customHeight="1" x14ac:dyDescent="0.25">
      <c r="A8" s="126" t="s">
        <v>80</v>
      </c>
      <c r="B8" s="126" t="s">
        <v>81</v>
      </c>
      <c r="C8" s="126" t="s">
        <v>142</v>
      </c>
      <c r="D8" s="126" t="s">
        <v>141</v>
      </c>
      <c r="E8" s="126" t="s">
        <v>82</v>
      </c>
      <c r="F8" s="126" t="s">
        <v>119</v>
      </c>
      <c r="G8" s="126" t="s">
        <v>86</v>
      </c>
      <c r="H8" s="126" t="s">
        <v>16</v>
      </c>
      <c r="I8" s="126" t="s">
        <v>83</v>
      </c>
      <c r="J8" s="126" t="s">
        <v>120</v>
      </c>
      <c r="K8" s="126" t="s">
        <v>569</v>
      </c>
      <c r="L8" s="126" t="s">
        <v>12</v>
      </c>
      <c r="M8" s="126" t="s">
        <v>88</v>
      </c>
      <c r="N8" s="126" t="s">
        <v>87</v>
      </c>
      <c r="O8" s="126" t="s">
        <v>90</v>
      </c>
      <c r="P8" s="126" t="s">
        <v>91</v>
      </c>
      <c r="Q8" s="126" t="s">
        <v>13</v>
      </c>
      <c r="R8" s="126" t="s">
        <v>14</v>
      </c>
      <c r="S8" s="126" t="s">
        <v>0</v>
      </c>
      <c r="T8" s="126" t="s">
        <v>85</v>
      </c>
      <c r="U8" s="126" t="s">
        <v>16</v>
      </c>
      <c r="V8" s="126" t="s">
        <v>120</v>
      </c>
      <c r="W8" s="126" t="s">
        <v>569</v>
      </c>
      <c r="X8" s="126" t="s">
        <v>17</v>
      </c>
      <c r="Y8" s="127" t="s">
        <v>16</v>
      </c>
      <c r="Z8" s="127" t="s">
        <v>120</v>
      </c>
      <c r="AA8" s="127" t="s">
        <v>569</v>
      </c>
      <c r="AB8" s="127" t="s">
        <v>16</v>
      </c>
      <c r="AC8" s="127" t="s">
        <v>569</v>
      </c>
      <c r="AD8" s="127" t="s">
        <v>15</v>
      </c>
      <c r="AE8" s="127" t="s">
        <v>20</v>
      </c>
      <c r="AF8" s="127" t="s">
        <v>15</v>
      </c>
      <c r="AG8" s="127" t="s">
        <v>20</v>
      </c>
      <c r="AH8" s="126" t="s">
        <v>16</v>
      </c>
      <c r="AI8" s="126" t="s">
        <v>120</v>
      </c>
      <c r="AJ8" s="126" t="s">
        <v>569</v>
      </c>
      <c r="AK8" s="126" t="s">
        <v>16</v>
      </c>
      <c r="AL8" s="126" t="s">
        <v>569</v>
      </c>
      <c r="AM8" s="126" t="s">
        <v>15</v>
      </c>
      <c r="AN8" s="126" t="s">
        <v>20</v>
      </c>
      <c r="AO8" s="126" t="s">
        <v>15</v>
      </c>
      <c r="AP8" s="126" t="s">
        <v>20</v>
      </c>
      <c r="AQ8" s="127" t="s">
        <v>16</v>
      </c>
      <c r="AR8" s="127" t="s">
        <v>120</v>
      </c>
      <c r="AS8" s="127" t="s">
        <v>569</v>
      </c>
      <c r="AT8" s="127" t="s">
        <v>16</v>
      </c>
      <c r="AU8" s="127" t="s">
        <v>569</v>
      </c>
      <c r="AV8" s="127" t="s">
        <v>15</v>
      </c>
      <c r="AW8" s="127" t="s">
        <v>20</v>
      </c>
      <c r="AX8" s="127" t="s">
        <v>15</v>
      </c>
      <c r="AY8" s="127" t="s">
        <v>20</v>
      </c>
      <c r="AZ8" s="126" t="s">
        <v>16</v>
      </c>
      <c r="BA8" s="126" t="s">
        <v>120</v>
      </c>
      <c r="BB8" s="126" t="s">
        <v>569</v>
      </c>
      <c r="BC8" s="126" t="s">
        <v>16</v>
      </c>
      <c r="BD8" s="126" t="s">
        <v>569</v>
      </c>
      <c r="BE8" s="126" t="s">
        <v>15</v>
      </c>
      <c r="BF8" s="126" t="s">
        <v>20</v>
      </c>
      <c r="BG8" s="126" t="s">
        <v>15</v>
      </c>
      <c r="BH8" s="126" t="s">
        <v>20</v>
      </c>
      <c r="BI8" s="12" t="s">
        <v>15</v>
      </c>
      <c r="BJ8" s="12" t="s">
        <v>20</v>
      </c>
      <c r="BK8" s="12" t="s">
        <v>15</v>
      </c>
      <c r="BL8" s="12" t="s">
        <v>20</v>
      </c>
      <c r="BM8" s="12" t="s">
        <v>15</v>
      </c>
      <c r="BN8" s="12" t="s">
        <v>20</v>
      </c>
      <c r="BO8" s="12" t="s">
        <v>15</v>
      </c>
      <c r="BP8" s="12" t="s">
        <v>20</v>
      </c>
      <c r="BQ8" s="12" t="s">
        <v>121</v>
      </c>
    </row>
    <row r="9" spans="1:69" s="45" customFormat="1" ht="105" x14ac:dyDescent="0.25">
      <c r="A9" s="34">
        <v>11200</v>
      </c>
      <c r="B9" s="35" t="str">
        <f>+VLOOKUP(A9,'[1]TAB. REF. PA'!$A$4:$B$14,2,FALSE)</f>
        <v>Dirección General</v>
      </c>
      <c r="C9" s="36" t="s">
        <v>291</v>
      </c>
      <c r="D9" s="35" t="s">
        <v>153</v>
      </c>
      <c r="E9" s="36" t="s">
        <v>132</v>
      </c>
      <c r="F9" s="35" t="s">
        <v>133</v>
      </c>
      <c r="G9" s="37" t="s">
        <v>124</v>
      </c>
      <c r="H9" s="36">
        <v>4</v>
      </c>
      <c r="I9" s="36" t="s">
        <v>292</v>
      </c>
      <c r="J9" s="38" t="s">
        <v>24</v>
      </c>
      <c r="K9" s="39">
        <v>0</v>
      </c>
      <c r="L9" s="40">
        <v>1</v>
      </c>
      <c r="M9" s="41" t="s">
        <v>51</v>
      </c>
      <c r="N9" s="41" t="s">
        <v>68</v>
      </c>
      <c r="O9" s="41" t="s">
        <v>21</v>
      </c>
      <c r="P9" s="41" t="s">
        <v>36</v>
      </c>
      <c r="Q9" s="41" t="s">
        <v>75</v>
      </c>
      <c r="R9" s="42"/>
      <c r="S9" s="41" t="s">
        <v>631</v>
      </c>
      <c r="T9" s="41" t="s">
        <v>98</v>
      </c>
      <c r="U9" s="34">
        <v>4</v>
      </c>
      <c r="V9" s="35" t="str">
        <f>+$J$9</f>
        <v>Reportar el cumplimiento del Plan de Acción de la Dependencia</v>
      </c>
      <c r="W9" s="39">
        <v>0</v>
      </c>
      <c r="X9" s="34" t="s">
        <v>117</v>
      </c>
      <c r="Y9" s="34">
        <v>1</v>
      </c>
      <c r="Z9" s="35" t="str">
        <f>+$J$9</f>
        <v>Reportar el cumplimiento del Plan de Acción de la Dependencia</v>
      </c>
      <c r="AA9" s="39">
        <v>0</v>
      </c>
      <c r="AB9" s="42"/>
      <c r="AC9" s="42"/>
      <c r="AD9" s="40">
        <f>+(AB9/Y9)</f>
        <v>0</v>
      </c>
      <c r="AE9" s="40" t="e">
        <f>+(AC9/AA9)</f>
        <v>#DIV/0!</v>
      </c>
      <c r="AF9" s="40">
        <f>+(AB9/U9)</f>
        <v>0</v>
      </c>
      <c r="AG9" s="40" t="e">
        <f>+(AC9/W9)</f>
        <v>#DIV/0!</v>
      </c>
      <c r="AH9" s="34">
        <v>1</v>
      </c>
      <c r="AI9" s="35" t="str">
        <f>+$J$9</f>
        <v>Reportar el cumplimiento del Plan de Acción de la Dependencia</v>
      </c>
      <c r="AJ9" s="39">
        <v>0</v>
      </c>
      <c r="AK9" s="42"/>
      <c r="AL9" s="42"/>
      <c r="AM9" s="40">
        <f>+(AK9/AH9)</f>
        <v>0</v>
      </c>
      <c r="AN9" s="40" t="e">
        <f>+(AL9/AJ9)</f>
        <v>#DIV/0!</v>
      </c>
      <c r="AO9" s="40">
        <f>+(AK9+AB9)/U9</f>
        <v>0</v>
      </c>
      <c r="AP9" s="43" t="e">
        <f>+(AL9+AC9)/W9</f>
        <v>#DIV/0!</v>
      </c>
      <c r="AQ9" s="34">
        <v>1</v>
      </c>
      <c r="AR9" s="35" t="str">
        <f>+$J$9</f>
        <v>Reportar el cumplimiento del Plan de Acción de la Dependencia</v>
      </c>
      <c r="AS9" s="39">
        <v>0</v>
      </c>
      <c r="AT9" s="42"/>
      <c r="AU9" s="42"/>
      <c r="AV9" s="40">
        <f>+(AT9/AQ9)</f>
        <v>0</v>
      </c>
      <c r="AW9" s="40" t="e">
        <f>+(AU9/AS9)</f>
        <v>#DIV/0!</v>
      </c>
      <c r="AX9" s="40">
        <f>+(AK9+AB9+AT9)/U9</f>
        <v>0</v>
      </c>
      <c r="AY9" s="40" t="e">
        <f>+(AL9+AC9+AU9)/W9</f>
        <v>#DIV/0!</v>
      </c>
      <c r="AZ9" s="34">
        <v>1</v>
      </c>
      <c r="BA9" s="35" t="str">
        <f>+$J$9</f>
        <v>Reportar el cumplimiento del Plan de Acción de la Dependencia</v>
      </c>
      <c r="BB9" s="39">
        <v>0</v>
      </c>
      <c r="BC9" s="42"/>
      <c r="BD9" s="42"/>
      <c r="BE9" s="40">
        <f>+(BC9/AZ9)</f>
        <v>0</v>
      </c>
      <c r="BF9" s="40" t="e">
        <f>+(BD9/BB9)</f>
        <v>#DIV/0!</v>
      </c>
      <c r="BG9" s="40">
        <f>+(AK9+AB9+AT9+BC9)/U9</f>
        <v>0</v>
      </c>
      <c r="BH9" s="40" t="e">
        <f>+(AL9+AC9+AU9+BD9)/W9</f>
        <v>#DIV/0!</v>
      </c>
      <c r="BI9" s="44">
        <f>IF(AND(Y9=0,AB9=0),"No Prog ni Ejec",IF(Y9=0,CONCATENATE("No Prog, Ejec=  ",AB9),AB9/Y9))</f>
        <v>0</v>
      </c>
      <c r="BJ9" s="44" t="str">
        <f>IF(AND(AA9=0,AC9=0),"No Prog ni Ejec",IF(AA9=0,CONCATENATE("No Prog, Ejec=  ",AC9),AC9/AA9))</f>
        <v>No Prog ni Ejec</v>
      </c>
      <c r="BK9" s="44">
        <f>IF(AND(AH9=0,AK9=0),"No Prog ni Ejec",IF(AH9=0,CONCATENATE("No Prog, Ejec=  ",AK9),AK9/AH9))</f>
        <v>0</v>
      </c>
      <c r="BL9" s="44" t="str">
        <f>IF(AND(AJ9=0,AL9=0),"No Prog ni Ejec",IF(AJ9=0,CONCATENATE("No Prog, Ejec=  ",AL9),AL9/AJ9))</f>
        <v>No Prog ni Ejec</v>
      </c>
      <c r="BM9" s="44">
        <f>IF(AND(AQ9=0,AT9=0),"No Prog ni Ejec",IF(AQ9=0,CONCATENATE("No Prog, Ejec=  ",AT9),AT9/AQ9))</f>
        <v>0</v>
      </c>
      <c r="BN9" s="44" t="str">
        <f>IF(AND(AS9=0,AU9=0),"No Prog ni Ejec",IF(AS9=0,CONCATENATE("No Prog, Ejec=  ",AU9),AU9/AS9))</f>
        <v>No Prog ni Ejec</v>
      </c>
      <c r="BO9" s="44">
        <f>IF(AND(AZ9=0,BC9=0),"No Prog ni Ejec",IF(AZ9=0,CONCATENATE("No Prog, Ejec=  ",BC9),BC9/AZ9))</f>
        <v>0</v>
      </c>
      <c r="BP9" s="44" t="str">
        <f>IF(AND(BB9=0,BD9=0),"No Prog ni Ejec",IF(BB9=0,CONCATENATE("No Prog, Ejec=  ",BD9),BD9/BB9))</f>
        <v>No Prog ni Ejec</v>
      </c>
      <c r="BQ9" s="42"/>
    </row>
    <row r="10" spans="1:69" s="45" customFormat="1" ht="105" x14ac:dyDescent="0.25">
      <c r="A10" s="34">
        <v>11200</v>
      </c>
      <c r="B10" s="35" t="str">
        <f>+VLOOKUP(A10,'[1]TAB. REF. PA'!$A$4:$B$14,2,FALSE)</f>
        <v>Dirección General</v>
      </c>
      <c r="C10" s="36" t="s">
        <v>152</v>
      </c>
      <c r="D10" s="35" t="s">
        <v>256</v>
      </c>
      <c r="E10" s="36" t="s">
        <v>154</v>
      </c>
      <c r="F10" s="35" t="s">
        <v>149</v>
      </c>
      <c r="G10" s="37" t="s">
        <v>124</v>
      </c>
      <c r="H10" s="34">
        <v>1</v>
      </c>
      <c r="I10" s="36" t="s">
        <v>155</v>
      </c>
      <c r="J10" s="35" t="s">
        <v>148</v>
      </c>
      <c r="K10" s="39">
        <v>500000000</v>
      </c>
      <c r="L10" s="40">
        <v>1</v>
      </c>
      <c r="M10" s="41" t="s">
        <v>48</v>
      </c>
      <c r="N10" s="41" t="s">
        <v>62</v>
      </c>
      <c r="O10" s="41" t="s">
        <v>37</v>
      </c>
      <c r="P10" s="41" t="s">
        <v>40</v>
      </c>
      <c r="Q10" s="41" t="s">
        <v>227</v>
      </c>
      <c r="R10" s="42"/>
      <c r="S10" s="103" t="s">
        <v>182</v>
      </c>
      <c r="T10" s="41" t="s">
        <v>99</v>
      </c>
      <c r="U10" s="40">
        <v>1</v>
      </c>
      <c r="V10" s="35" t="str">
        <f>+$J$10</f>
        <v>Diseño y ejecución de estrategias de campaña Marketing para la ADRES.</v>
      </c>
      <c r="W10" s="39">
        <f>+$K$10</f>
        <v>500000000</v>
      </c>
      <c r="X10" s="34" t="s">
        <v>114</v>
      </c>
      <c r="Y10" s="40">
        <f>+AA10/W10</f>
        <v>0.3</v>
      </c>
      <c r="Z10" s="35" t="str">
        <f>+$J$10</f>
        <v>Diseño y ejecución de estrategias de campaña Marketing para la ADRES.</v>
      </c>
      <c r="AA10" s="39">
        <v>150000000</v>
      </c>
      <c r="AB10" s="42"/>
      <c r="AC10" s="42"/>
      <c r="AD10" s="40">
        <f t="shared" ref="AD10:AD73" si="0">+(AB10/Y10)</f>
        <v>0</v>
      </c>
      <c r="AE10" s="40">
        <f t="shared" ref="AE10:AE73" si="1">+(AC10/AA10)</f>
        <v>0</v>
      </c>
      <c r="AF10" s="40">
        <f t="shared" ref="AF10:AF73" si="2">+(AB10/U10)</f>
        <v>0</v>
      </c>
      <c r="AG10" s="40">
        <f t="shared" ref="AG10:AG73" si="3">+(AC10/W10)</f>
        <v>0</v>
      </c>
      <c r="AH10" s="40">
        <v>0.3</v>
      </c>
      <c r="AI10" s="35" t="str">
        <f>+$J$10</f>
        <v>Diseño y ejecución de estrategias de campaña Marketing para la ADRES.</v>
      </c>
      <c r="AJ10" s="39">
        <v>150000000</v>
      </c>
      <c r="AK10" s="42"/>
      <c r="AL10" s="42"/>
      <c r="AM10" s="40">
        <f t="shared" ref="AM10:AM73" si="4">+(AK10/AH10)</f>
        <v>0</v>
      </c>
      <c r="AN10" s="40">
        <f t="shared" ref="AN10:AN73" si="5">+(AL10/AJ10)</f>
        <v>0</v>
      </c>
      <c r="AO10" s="40">
        <f t="shared" ref="AO10:AO73" si="6">+(AK10+AB10)/U10</f>
        <v>0</v>
      </c>
      <c r="AP10" s="43">
        <f t="shared" ref="AP10:AP73" si="7">+(AL10+AC10)/W10</f>
        <v>0</v>
      </c>
      <c r="AQ10" s="40">
        <v>0.3</v>
      </c>
      <c r="AR10" s="35" t="str">
        <f>+$J$10</f>
        <v>Diseño y ejecución de estrategias de campaña Marketing para la ADRES.</v>
      </c>
      <c r="AS10" s="39">
        <v>150000000</v>
      </c>
      <c r="AT10" s="42"/>
      <c r="AU10" s="42"/>
      <c r="AV10" s="40">
        <f t="shared" ref="AV10:AV73" si="8">+(AT10/AQ10)</f>
        <v>0</v>
      </c>
      <c r="AW10" s="40">
        <f t="shared" ref="AW10:AW73" si="9">+(AU10/AS10)</f>
        <v>0</v>
      </c>
      <c r="AX10" s="40">
        <f t="shared" ref="AX10:AX73" si="10">+(AK10+AB10+AT10)/U10</f>
        <v>0</v>
      </c>
      <c r="AY10" s="40">
        <f t="shared" ref="AY10:AY73" si="11">+(AL10+AC10+AU10)/W10</f>
        <v>0</v>
      </c>
      <c r="AZ10" s="40">
        <v>0.1</v>
      </c>
      <c r="BA10" s="35" t="str">
        <f>+$J$10</f>
        <v>Diseño y ejecución de estrategias de campaña Marketing para la ADRES.</v>
      </c>
      <c r="BB10" s="39">
        <v>50000000</v>
      </c>
      <c r="BC10" s="42"/>
      <c r="BD10" s="42"/>
      <c r="BE10" s="40">
        <f t="shared" ref="BE10:BE73" si="12">+(BC10/AZ10)</f>
        <v>0</v>
      </c>
      <c r="BF10" s="40">
        <f t="shared" ref="BF10:BF73" si="13">+(BD10/BB10)</f>
        <v>0</v>
      </c>
      <c r="BG10" s="40">
        <f t="shared" ref="BG10:BG73" si="14">+(AK10+AB10+AT10+BC10)/U10</f>
        <v>0</v>
      </c>
      <c r="BH10" s="40">
        <f t="shared" ref="BH10:BH73" si="15">+(AL10+AC10+AU10+BD10)/W10</f>
        <v>0</v>
      </c>
      <c r="BI10" s="44">
        <f t="shared" ref="BI10:BI73" si="16">IF(AND(Y10=0,AB10=0),"No Prog ni Ejec",IF(Y10=0,CONCATENATE("No Prog, Ejec=  ",AB10),AB10/Y10))</f>
        <v>0</v>
      </c>
      <c r="BJ10" s="44">
        <f t="shared" ref="BJ10:BJ73" si="17">IF(AND(AA10=0,AC10=0),"No Prog ni Ejec",IF(AA10=0,CONCATENATE("No Prog, Ejec=  ",AC10),AC10/AA10))</f>
        <v>0</v>
      </c>
      <c r="BK10" s="44">
        <f t="shared" ref="BK10:BK73" si="18">IF(AND(AH10=0,AK10=0),"No Prog ni Ejec",IF(AH10=0,CONCATENATE("No Prog, Ejec=  ",AK10),AK10/AH10))</f>
        <v>0</v>
      </c>
      <c r="BL10" s="44">
        <f t="shared" ref="BL10:BL73" si="19">IF(AND(AJ10=0,AL10=0),"No Prog ni Ejec",IF(AJ10=0,CONCATENATE("No Prog, Ejec=  ",AL10),AL10/AJ10))</f>
        <v>0</v>
      </c>
      <c r="BM10" s="44">
        <f t="shared" ref="BM10:BM73" si="20">IF(AND(AQ10=0,AT10=0),"No Prog ni Ejec",IF(AQ10=0,CONCATENATE("No Prog, Ejec=  ",AT10),AT10/AQ10))</f>
        <v>0</v>
      </c>
      <c r="BN10" s="44">
        <f t="shared" ref="BN10:BN73" si="21">IF(AND(AS10=0,AU10=0),"No Prog ni Ejec",IF(AS10=0,CONCATENATE("No Prog, Ejec=  ",AU10),AU10/AS10))</f>
        <v>0</v>
      </c>
      <c r="BO10" s="44">
        <f t="shared" ref="BO10:BO73" si="22">IF(AND(AZ10=0,BC10=0),"No Prog ni Ejec",IF(AZ10=0,CONCATENATE("No Prog, Ejec=  ",BC10),BC10/AZ10))</f>
        <v>0</v>
      </c>
      <c r="BP10" s="44">
        <f t="shared" ref="BP10:BP73" si="23">IF(AND(BB10=0,BD10=0),"No Prog ni Ejec",IF(BB10=0,CONCATENATE("No Prog, Ejec=  ",BD10),BD10/BB10))</f>
        <v>0</v>
      </c>
      <c r="BQ10" s="42"/>
    </row>
    <row r="11" spans="1:69" s="45" customFormat="1" ht="105" x14ac:dyDescent="0.25">
      <c r="A11" s="34">
        <v>11300</v>
      </c>
      <c r="B11" s="35" t="str">
        <f>+VLOOKUP(A11,'[1]TAB. REF. PA'!$A$4:$B$14,2,FALSE)</f>
        <v>Dirección de Gestión de Recursos Financieros de Salud</v>
      </c>
      <c r="C11" s="36" t="s">
        <v>150</v>
      </c>
      <c r="D11" s="35" t="s">
        <v>153</v>
      </c>
      <c r="E11" s="36" t="s">
        <v>151</v>
      </c>
      <c r="F11" s="35" t="s">
        <v>133</v>
      </c>
      <c r="G11" s="37" t="s">
        <v>124</v>
      </c>
      <c r="H11" s="36">
        <v>4</v>
      </c>
      <c r="I11" s="36" t="s">
        <v>293</v>
      </c>
      <c r="J11" s="38" t="s">
        <v>24</v>
      </c>
      <c r="K11" s="39">
        <v>0</v>
      </c>
      <c r="L11" s="40">
        <v>1</v>
      </c>
      <c r="M11" s="41" t="s">
        <v>51</v>
      </c>
      <c r="N11" s="41" t="s">
        <v>68</v>
      </c>
      <c r="O11" s="41" t="s">
        <v>21</v>
      </c>
      <c r="P11" s="41" t="s">
        <v>36</v>
      </c>
      <c r="Q11" s="41" t="s">
        <v>75</v>
      </c>
      <c r="R11" s="42"/>
      <c r="S11" s="41" t="s">
        <v>631</v>
      </c>
      <c r="T11" s="41" t="s">
        <v>98</v>
      </c>
      <c r="U11" s="34">
        <v>4</v>
      </c>
      <c r="V11" s="35" t="str">
        <f>+$J$11</f>
        <v>Reportar el cumplimiento del Plan de Acción de la Dependencia</v>
      </c>
      <c r="W11" s="39">
        <v>0</v>
      </c>
      <c r="X11" s="34" t="s">
        <v>117</v>
      </c>
      <c r="Y11" s="34">
        <v>1</v>
      </c>
      <c r="Z11" s="35" t="str">
        <f>+$J$11</f>
        <v>Reportar el cumplimiento del Plan de Acción de la Dependencia</v>
      </c>
      <c r="AA11" s="39">
        <v>0</v>
      </c>
      <c r="AB11" s="42"/>
      <c r="AC11" s="42"/>
      <c r="AD11" s="40">
        <f t="shared" si="0"/>
        <v>0</v>
      </c>
      <c r="AE11" s="40" t="e">
        <f t="shared" si="1"/>
        <v>#DIV/0!</v>
      </c>
      <c r="AF11" s="40">
        <f t="shared" si="2"/>
        <v>0</v>
      </c>
      <c r="AG11" s="40" t="e">
        <f t="shared" si="3"/>
        <v>#DIV/0!</v>
      </c>
      <c r="AH11" s="34">
        <v>1</v>
      </c>
      <c r="AI11" s="35" t="str">
        <f>+$J$11</f>
        <v>Reportar el cumplimiento del Plan de Acción de la Dependencia</v>
      </c>
      <c r="AJ11" s="39">
        <v>0</v>
      </c>
      <c r="AK11" s="42"/>
      <c r="AL11" s="42"/>
      <c r="AM11" s="40">
        <f t="shared" si="4"/>
        <v>0</v>
      </c>
      <c r="AN11" s="40" t="e">
        <f t="shared" si="5"/>
        <v>#DIV/0!</v>
      </c>
      <c r="AO11" s="40">
        <f t="shared" si="6"/>
        <v>0</v>
      </c>
      <c r="AP11" s="43" t="e">
        <f t="shared" si="7"/>
        <v>#DIV/0!</v>
      </c>
      <c r="AQ11" s="34">
        <v>1</v>
      </c>
      <c r="AR11" s="35" t="str">
        <f>+$J$11</f>
        <v>Reportar el cumplimiento del Plan de Acción de la Dependencia</v>
      </c>
      <c r="AS11" s="39">
        <v>0</v>
      </c>
      <c r="AT11" s="42"/>
      <c r="AU11" s="42"/>
      <c r="AV11" s="40">
        <f t="shared" si="8"/>
        <v>0</v>
      </c>
      <c r="AW11" s="40" t="e">
        <f t="shared" si="9"/>
        <v>#DIV/0!</v>
      </c>
      <c r="AX11" s="40">
        <f t="shared" si="10"/>
        <v>0</v>
      </c>
      <c r="AY11" s="40" t="e">
        <f t="shared" si="11"/>
        <v>#DIV/0!</v>
      </c>
      <c r="AZ11" s="34">
        <v>1</v>
      </c>
      <c r="BA11" s="35" t="str">
        <f>+$J$11</f>
        <v>Reportar el cumplimiento del Plan de Acción de la Dependencia</v>
      </c>
      <c r="BB11" s="39">
        <v>0</v>
      </c>
      <c r="BC11" s="42"/>
      <c r="BD11" s="42"/>
      <c r="BE11" s="40">
        <f t="shared" si="12"/>
        <v>0</v>
      </c>
      <c r="BF11" s="40" t="e">
        <f t="shared" si="13"/>
        <v>#DIV/0!</v>
      </c>
      <c r="BG11" s="40">
        <f t="shared" si="14"/>
        <v>0</v>
      </c>
      <c r="BH11" s="40" t="e">
        <f t="shared" si="15"/>
        <v>#DIV/0!</v>
      </c>
      <c r="BI11" s="44">
        <f t="shared" si="16"/>
        <v>0</v>
      </c>
      <c r="BJ11" s="44" t="str">
        <f t="shared" si="17"/>
        <v>No Prog ni Ejec</v>
      </c>
      <c r="BK11" s="44">
        <f t="shared" si="18"/>
        <v>0</v>
      </c>
      <c r="BL11" s="44" t="str">
        <f t="shared" si="19"/>
        <v>No Prog ni Ejec</v>
      </c>
      <c r="BM11" s="44">
        <f t="shared" si="20"/>
        <v>0</v>
      </c>
      <c r="BN11" s="44" t="str">
        <f t="shared" si="21"/>
        <v>No Prog ni Ejec</v>
      </c>
      <c r="BO11" s="44">
        <f t="shared" si="22"/>
        <v>0</v>
      </c>
      <c r="BP11" s="44" t="str">
        <f t="shared" si="23"/>
        <v>No Prog ni Ejec</v>
      </c>
      <c r="BQ11" s="42"/>
    </row>
    <row r="12" spans="1:69" s="45" customFormat="1" ht="105" x14ac:dyDescent="0.25">
      <c r="A12" s="34">
        <v>11300</v>
      </c>
      <c r="B12" s="35" t="str">
        <f>+VLOOKUP(A12,'[1]TAB. REF. PA'!$A$4:$B$14,2,FALSE)</f>
        <v>Dirección de Gestión de Recursos Financieros de Salud</v>
      </c>
      <c r="C12" s="36" t="s">
        <v>157</v>
      </c>
      <c r="D12" s="35" t="s">
        <v>256</v>
      </c>
      <c r="E12" s="36" t="s">
        <v>576</v>
      </c>
      <c r="F12" s="35" t="s">
        <v>159</v>
      </c>
      <c r="G12" s="37" t="s">
        <v>123</v>
      </c>
      <c r="H12" s="46">
        <v>1</v>
      </c>
      <c r="I12" s="36" t="s">
        <v>577</v>
      </c>
      <c r="J12" s="41" t="s">
        <v>156</v>
      </c>
      <c r="K12" s="39">
        <v>0</v>
      </c>
      <c r="L12" s="40">
        <v>1</v>
      </c>
      <c r="M12" s="41" t="s">
        <v>51</v>
      </c>
      <c r="N12" s="41" t="s">
        <v>68</v>
      </c>
      <c r="O12" s="41" t="s">
        <v>21</v>
      </c>
      <c r="P12" s="41" t="s">
        <v>36</v>
      </c>
      <c r="Q12" s="41" t="s">
        <v>75</v>
      </c>
      <c r="R12" s="42"/>
      <c r="S12" s="41" t="s">
        <v>672</v>
      </c>
      <c r="T12" s="41" t="s">
        <v>98</v>
      </c>
      <c r="U12" s="40">
        <v>1</v>
      </c>
      <c r="V12" s="35" t="str">
        <f>+$J$12</f>
        <v>Formular los proceso y procedimientos en el marco del MIPG</v>
      </c>
      <c r="W12" s="39">
        <v>0</v>
      </c>
      <c r="X12" s="34" t="s">
        <v>117</v>
      </c>
      <c r="Y12" s="40">
        <v>0.25</v>
      </c>
      <c r="Z12" s="35" t="str">
        <f>+$J$12</f>
        <v>Formular los proceso y procedimientos en el marco del MIPG</v>
      </c>
      <c r="AA12" s="39">
        <v>0</v>
      </c>
      <c r="AB12" s="42"/>
      <c r="AC12" s="42"/>
      <c r="AD12" s="40">
        <f t="shared" si="0"/>
        <v>0</v>
      </c>
      <c r="AE12" s="40" t="e">
        <f t="shared" si="1"/>
        <v>#DIV/0!</v>
      </c>
      <c r="AF12" s="40">
        <f t="shared" si="2"/>
        <v>0</v>
      </c>
      <c r="AG12" s="40" t="e">
        <f t="shared" si="3"/>
        <v>#DIV/0!</v>
      </c>
      <c r="AH12" s="40">
        <v>0.25</v>
      </c>
      <c r="AI12" s="35" t="str">
        <f>+$J$12</f>
        <v>Formular los proceso y procedimientos en el marco del MIPG</v>
      </c>
      <c r="AJ12" s="39">
        <v>0</v>
      </c>
      <c r="AK12" s="42"/>
      <c r="AL12" s="42"/>
      <c r="AM12" s="40">
        <f t="shared" si="4"/>
        <v>0</v>
      </c>
      <c r="AN12" s="40" t="e">
        <f t="shared" si="5"/>
        <v>#DIV/0!</v>
      </c>
      <c r="AO12" s="40">
        <f t="shared" si="6"/>
        <v>0</v>
      </c>
      <c r="AP12" s="43" t="e">
        <f t="shared" si="7"/>
        <v>#DIV/0!</v>
      </c>
      <c r="AQ12" s="40">
        <v>0.25</v>
      </c>
      <c r="AR12" s="35" t="str">
        <f>+$J$12</f>
        <v>Formular los proceso y procedimientos en el marco del MIPG</v>
      </c>
      <c r="AS12" s="39">
        <v>0</v>
      </c>
      <c r="AT12" s="42"/>
      <c r="AU12" s="42"/>
      <c r="AV12" s="40">
        <f t="shared" si="8"/>
        <v>0</v>
      </c>
      <c r="AW12" s="40" t="e">
        <f t="shared" si="9"/>
        <v>#DIV/0!</v>
      </c>
      <c r="AX12" s="40">
        <f t="shared" si="10"/>
        <v>0</v>
      </c>
      <c r="AY12" s="40" t="e">
        <f t="shared" si="11"/>
        <v>#DIV/0!</v>
      </c>
      <c r="AZ12" s="40">
        <v>0.25</v>
      </c>
      <c r="BA12" s="35" t="str">
        <f>+$J$12</f>
        <v>Formular los proceso y procedimientos en el marco del MIPG</v>
      </c>
      <c r="BB12" s="39">
        <v>0</v>
      </c>
      <c r="BC12" s="42"/>
      <c r="BD12" s="42"/>
      <c r="BE12" s="40">
        <f t="shared" si="12"/>
        <v>0</v>
      </c>
      <c r="BF12" s="40" t="e">
        <f t="shared" si="13"/>
        <v>#DIV/0!</v>
      </c>
      <c r="BG12" s="40">
        <f t="shared" si="14"/>
        <v>0</v>
      </c>
      <c r="BH12" s="40" t="e">
        <f t="shared" si="15"/>
        <v>#DIV/0!</v>
      </c>
      <c r="BI12" s="44">
        <f t="shared" si="16"/>
        <v>0</v>
      </c>
      <c r="BJ12" s="44" t="str">
        <f t="shared" si="17"/>
        <v>No Prog ni Ejec</v>
      </c>
      <c r="BK12" s="44">
        <f t="shared" si="18"/>
        <v>0</v>
      </c>
      <c r="BL12" s="44" t="str">
        <f t="shared" si="19"/>
        <v>No Prog ni Ejec</v>
      </c>
      <c r="BM12" s="44">
        <f t="shared" si="20"/>
        <v>0</v>
      </c>
      <c r="BN12" s="44" t="str">
        <f t="shared" si="21"/>
        <v>No Prog ni Ejec</v>
      </c>
      <c r="BO12" s="44">
        <f t="shared" si="22"/>
        <v>0</v>
      </c>
      <c r="BP12" s="44" t="str">
        <f t="shared" si="23"/>
        <v>No Prog ni Ejec</v>
      </c>
      <c r="BQ12" s="42"/>
    </row>
    <row r="13" spans="1:69" s="45" customFormat="1" ht="105" x14ac:dyDescent="0.25">
      <c r="A13" s="34">
        <v>11300</v>
      </c>
      <c r="B13" s="35" t="str">
        <f>+VLOOKUP(A13,'[1]TAB. REF. PA'!$A$4:$B$14,2,FALSE)</f>
        <v>Dirección de Gestión de Recursos Financieros de Salud</v>
      </c>
      <c r="C13" s="36" t="s">
        <v>157</v>
      </c>
      <c r="D13" s="35" t="s">
        <v>256</v>
      </c>
      <c r="E13" s="36" t="s">
        <v>158</v>
      </c>
      <c r="F13" s="35" t="s">
        <v>127</v>
      </c>
      <c r="G13" s="37" t="s">
        <v>123</v>
      </c>
      <c r="H13" s="46">
        <v>1</v>
      </c>
      <c r="I13" s="36" t="s">
        <v>294</v>
      </c>
      <c r="J13" s="41" t="s">
        <v>128</v>
      </c>
      <c r="K13" s="39">
        <v>0</v>
      </c>
      <c r="L13" s="40">
        <v>1</v>
      </c>
      <c r="M13" s="41" t="s">
        <v>51</v>
      </c>
      <c r="N13" s="41" t="s">
        <v>68</v>
      </c>
      <c r="O13" s="41" t="s">
        <v>21</v>
      </c>
      <c r="P13" s="41" t="s">
        <v>36</v>
      </c>
      <c r="Q13" s="41" t="s">
        <v>75</v>
      </c>
      <c r="R13" s="42"/>
      <c r="S13" s="41" t="s">
        <v>570</v>
      </c>
      <c r="T13" s="41" t="s">
        <v>98</v>
      </c>
      <c r="U13" s="40">
        <v>1</v>
      </c>
      <c r="V13" s="35" t="str">
        <f>+$J$13</f>
        <v>Remitir informes trimestrales de los indicadores formulados y las acciones de mejoras</v>
      </c>
      <c r="W13" s="39">
        <v>0</v>
      </c>
      <c r="X13" s="34" t="s">
        <v>117</v>
      </c>
      <c r="Y13" s="39">
        <v>0</v>
      </c>
      <c r="Z13" s="35" t="str">
        <f>+$J$13</f>
        <v>Remitir informes trimestrales de los indicadores formulados y las acciones de mejoras</v>
      </c>
      <c r="AA13" s="39">
        <v>0</v>
      </c>
      <c r="AB13" s="42"/>
      <c r="AC13" s="42"/>
      <c r="AD13" s="40" t="e">
        <f t="shared" si="0"/>
        <v>#DIV/0!</v>
      </c>
      <c r="AE13" s="40" t="e">
        <f t="shared" si="1"/>
        <v>#DIV/0!</v>
      </c>
      <c r="AF13" s="40">
        <f t="shared" si="2"/>
        <v>0</v>
      </c>
      <c r="AG13" s="40" t="e">
        <f t="shared" si="3"/>
        <v>#DIV/0!</v>
      </c>
      <c r="AH13" s="39">
        <v>0</v>
      </c>
      <c r="AI13" s="35" t="str">
        <f>+$J$13</f>
        <v>Remitir informes trimestrales de los indicadores formulados y las acciones de mejoras</v>
      </c>
      <c r="AJ13" s="39">
        <v>0</v>
      </c>
      <c r="AK13" s="42"/>
      <c r="AL13" s="42"/>
      <c r="AM13" s="40" t="e">
        <f t="shared" si="4"/>
        <v>#DIV/0!</v>
      </c>
      <c r="AN13" s="40" t="e">
        <f t="shared" si="5"/>
        <v>#DIV/0!</v>
      </c>
      <c r="AO13" s="40">
        <f t="shared" si="6"/>
        <v>0</v>
      </c>
      <c r="AP13" s="43" t="e">
        <f t="shared" si="7"/>
        <v>#DIV/0!</v>
      </c>
      <c r="AQ13" s="39">
        <v>0</v>
      </c>
      <c r="AR13" s="35" t="str">
        <f>+$J$13</f>
        <v>Remitir informes trimestrales de los indicadores formulados y las acciones de mejoras</v>
      </c>
      <c r="AS13" s="39">
        <v>0</v>
      </c>
      <c r="AT13" s="42"/>
      <c r="AU13" s="42"/>
      <c r="AV13" s="40" t="e">
        <f t="shared" si="8"/>
        <v>#DIV/0!</v>
      </c>
      <c r="AW13" s="40" t="e">
        <f t="shared" si="9"/>
        <v>#DIV/0!</v>
      </c>
      <c r="AX13" s="40">
        <f t="shared" si="10"/>
        <v>0</v>
      </c>
      <c r="AY13" s="40" t="e">
        <f t="shared" si="11"/>
        <v>#DIV/0!</v>
      </c>
      <c r="AZ13" s="47">
        <v>1</v>
      </c>
      <c r="BA13" s="35" t="str">
        <f>+$J$13</f>
        <v>Remitir informes trimestrales de los indicadores formulados y las acciones de mejoras</v>
      </c>
      <c r="BB13" s="39">
        <v>0</v>
      </c>
      <c r="BC13" s="42"/>
      <c r="BD13" s="42"/>
      <c r="BE13" s="40">
        <f t="shared" si="12"/>
        <v>0</v>
      </c>
      <c r="BF13" s="40" t="e">
        <f t="shared" si="13"/>
        <v>#DIV/0!</v>
      </c>
      <c r="BG13" s="40">
        <f t="shared" si="14"/>
        <v>0</v>
      </c>
      <c r="BH13" s="40" t="e">
        <f t="shared" si="15"/>
        <v>#DIV/0!</v>
      </c>
      <c r="BI13" s="44" t="str">
        <f t="shared" si="16"/>
        <v>No Prog ni Ejec</v>
      </c>
      <c r="BJ13" s="44" t="str">
        <f t="shared" si="17"/>
        <v>No Prog ni Ejec</v>
      </c>
      <c r="BK13" s="44" t="str">
        <f t="shared" si="18"/>
        <v>No Prog ni Ejec</v>
      </c>
      <c r="BL13" s="44" t="str">
        <f t="shared" si="19"/>
        <v>No Prog ni Ejec</v>
      </c>
      <c r="BM13" s="44" t="str">
        <f t="shared" si="20"/>
        <v>No Prog ni Ejec</v>
      </c>
      <c r="BN13" s="44" t="str">
        <f t="shared" si="21"/>
        <v>No Prog ni Ejec</v>
      </c>
      <c r="BO13" s="44">
        <f t="shared" si="22"/>
        <v>0</v>
      </c>
      <c r="BP13" s="44" t="str">
        <f t="shared" si="23"/>
        <v>No Prog ni Ejec</v>
      </c>
      <c r="BQ13" s="42"/>
    </row>
    <row r="14" spans="1:69" s="45" customFormat="1" ht="105" x14ac:dyDescent="0.25">
      <c r="A14" s="34">
        <v>11300</v>
      </c>
      <c r="B14" s="35" t="str">
        <f>+VLOOKUP(A14,'[1]TAB. REF. PA'!$A$4:$B$14,2,FALSE)</f>
        <v>Dirección de Gestión de Recursos Financieros de Salud</v>
      </c>
      <c r="C14" s="36" t="s">
        <v>160</v>
      </c>
      <c r="D14" s="35" t="s">
        <v>145</v>
      </c>
      <c r="E14" s="36" t="s">
        <v>161</v>
      </c>
      <c r="F14" s="35" t="s">
        <v>162</v>
      </c>
      <c r="G14" s="37" t="s">
        <v>123</v>
      </c>
      <c r="H14" s="46">
        <v>1</v>
      </c>
      <c r="I14" s="36" t="s">
        <v>295</v>
      </c>
      <c r="J14" s="38" t="s">
        <v>165</v>
      </c>
      <c r="K14" s="39">
        <v>74955308000</v>
      </c>
      <c r="L14" s="140">
        <v>1.7542864196212072E-3</v>
      </c>
      <c r="M14" s="41" t="s">
        <v>46</v>
      </c>
      <c r="N14" s="41" t="s">
        <v>68</v>
      </c>
      <c r="O14" s="41" t="s">
        <v>21</v>
      </c>
      <c r="P14" s="41" t="s">
        <v>36</v>
      </c>
      <c r="Q14" s="41" t="s">
        <v>213</v>
      </c>
      <c r="R14" s="42"/>
      <c r="S14" s="41" t="s">
        <v>182</v>
      </c>
      <c r="T14" s="41" t="s">
        <v>99</v>
      </c>
      <c r="U14" s="40">
        <v>1</v>
      </c>
      <c r="V14" s="35" t="str">
        <f>+$J$14</f>
        <v>Transferencias Entidades de Administración Publica Central</v>
      </c>
      <c r="W14" s="39">
        <v>74955308000</v>
      </c>
      <c r="X14" s="34" t="s">
        <v>116</v>
      </c>
      <c r="Y14" s="40">
        <v>0.25</v>
      </c>
      <c r="Z14" s="35" t="str">
        <f>+$J$14</f>
        <v>Transferencias Entidades de Administración Publica Central</v>
      </c>
      <c r="AA14" s="49">
        <v>18738827000</v>
      </c>
      <c r="AB14" s="40"/>
      <c r="AC14" s="42"/>
      <c r="AD14" s="40">
        <f t="shared" si="0"/>
        <v>0</v>
      </c>
      <c r="AE14" s="40">
        <f t="shared" si="1"/>
        <v>0</v>
      </c>
      <c r="AF14" s="40">
        <f t="shared" si="2"/>
        <v>0</v>
      </c>
      <c r="AG14" s="40">
        <f t="shared" si="3"/>
        <v>0</v>
      </c>
      <c r="AH14" s="40">
        <v>0.25</v>
      </c>
      <c r="AI14" s="35" t="str">
        <f>+$J$14</f>
        <v>Transferencias Entidades de Administración Publica Central</v>
      </c>
      <c r="AJ14" s="49">
        <v>18738827000</v>
      </c>
      <c r="AK14" s="40"/>
      <c r="AL14" s="42"/>
      <c r="AM14" s="40">
        <f t="shared" si="4"/>
        <v>0</v>
      </c>
      <c r="AN14" s="40">
        <f t="shared" si="5"/>
        <v>0</v>
      </c>
      <c r="AO14" s="40">
        <f t="shared" si="6"/>
        <v>0</v>
      </c>
      <c r="AP14" s="43">
        <f t="shared" si="7"/>
        <v>0</v>
      </c>
      <c r="AQ14" s="40">
        <v>0.25</v>
      </c>
      <c r="AR14" s="35" t="str">
        <f>+$J$14</f>
        <v>Transferencias Entidades de Administración Publica Central</v>
      </c>
      <c r="AS14" s="49">
        <v>18738827000</v>
      </c>
      <c r="AT14" s="42"/>
      <c r="AU14" s="42"/>
      <c r="AV14" s="40">
        <f t="shared" si="8"/>
        <v>0</v>
      </c>
      <c r="AW14" s="40">
        <f t="shared" si="9"/>
        <v>0</v>
      </c>
      <c r="AX14" s="40">
        <f t="shared" si="10"/>
        <v>0</v>
      </c>
      <c r="AY14" s="40">
        <f t="shared" si="11"/>
        <v>0</v>
      </c>
      <c r="AZ14" s="40">
        <v>0.25</v>
      </c>
      <c r="BA14" s="35" t="str">
        <f>+$J$14</f>
        <v>Transferencias Entidades de Administración Publica Central</v>
      </c>
      <c r="BB14" s="49">
        <v>18738827000</v>
      </c>
      <c r="BC14" s="42"/>
      <c r="BD14" s="42"/>
      <c r="BE14" s="40">
        <f t="shared" si="12"/>
        <v>0</v>
      </c>
      <c r="BF14" s="40">
        <f t="shared" si="13"/>
        <v>0</v>
      </c>
      <c r="BG14" s="40">
        <f t="shared" si="14"/>
        <v>0</v>
      </c>
      <c r="BH14" s="40">
        <f t="shared" si="15"/>
        <v>0</v>
      </c>
      <c r="BI14" s="44">
        <f t="shared" si="16"/>
        <v>0</v>
      </c>
      <c r="BJ14" s="44">
        <f t="shared" si="17"/>
        <v>0</v>
      </c>
      <c r="BK14" s="44">
        <f t="shared" si="18"/>
        <v>0</v>
      </c>
      <c r="BL14" s="44">
        <f t="shared" si="19"/>
        <v>0</v>
      </c>
      <c r="BM14" s="44">
        <f t="shared" si="20"/>
        <v>0</v>
      </c>
      <c r="BN14" s="44">
        <f t="shared" si="21"/>
        <v>0</v>
      </c>
      <c r="BO14" s="44">
        <f t="shared" si="22"/>
        <v>0</v>
      </c>
      <c r="BP14" s="44">
        <f t="shared" si="23"/>
        <v>0</v>
      </c>
      <c r="BQ14" s="42"/>
    </row>
    <row r="15" spans="1:69" s="45" customFormat="1" ht="105" x14ac:dyDescent="0.25">
      <c r="A15" s="34">
        <v>11300</v>
      </c>
      <c r="B15" s="35" t="str">
        <f>+VLOOKUP(A15,'[1]TAB. REF. PA'!$A$4:$B$14,2,FALSE)</f>
        <v>Dirección de Gestión de Recursos Financieros de Salud</v>
      </c>
      <c r="C15" s="36" t="s">
        <v>160</v>
      </c>
      <c r="D15" s="35" t="s">
        <v>145</v>
      </c>
      <c r="E15" s="36" t="s">
        <v>161</v>
      </c>
      <c r="F15" s="35" t="s">
        <v>162</v>
      </c>
      <c r="G15" s="37" t="s">
        <v>123</v>
      </c>
      <c r="H15" s="46">
        <v>1</v>
      </c>
      <c r="I15" s="36" t="s">
        <v>296</v>
      </c>
      <c r="J15" s="38" t="s">
        <v>166</v>
      </c>
      <c r="K15" s="39">
        <v>89295030000</v>
      </c>
      <c r="L15" s="140">
        <v>2.0898994700771331E-3</v>
      </c>
      <c r="M15" s="41" t="s">
        <v>46</v>
      </c>
      <c r="N15" s="41" t="s">
        <v>68</v>
      </c>
      <c r="O15" s="41" t="s">
        <v>21</v>
      </c>
      <c r="P15" s="41" t="s">
        <v>36</v>
      </c>
      <c r="Q15" s="41" t="s">
        <v>213</v>
      </c>
      <c r="R15" s="42"/>
      <c r="S15" s="41" t="s">
        <v>182</v>
      </c>
      <c r="T15" s="41" t="s">
        <v>99</v>
      </c>
      <c r="U15" s="40">
        <v>1</v>
      </c>
      <c r="V15" s="35" t="str">
        <f>+$J$15</f>
        <v>Empresas Publicas nacionales No Financieras - ADRES</v>
      </c>
      <c r="W15" s="39">
        <v>89295030000</v>
      </c>
      <c r="X15" s="34" t="s">
        <v>116</v>
      </c>
      <c r="Y15" s="40">
        <v>0.25</v>
      </c>
      <c r="Z15" s="35" t="str">
        <f>+$J$15</f>
        <v>Empresas Publicas nacionales No Financieras - ADRES</v>
      </c>
      <c r="AA15" s="49">
        <v>22323757500</v>
      </c>
      <c r="AB15" s="42"/>
      <c r="AC15" s="42"/>
      <c r="AD15" s="40">
        <f t="shared" si="0"/>
        <v>0</v>
      </c>
      <c r="AE15" s="40">
        <f t="shared" si="1"/>
        <v>0</v>
      </c>
      <c r="AF15" s="40">
        <f t="shared" si="2"/>
        <v>0</v>
      </c>
      <c r="AG15" s="40">
        <f t="shared" si="3"/>
        <v>0</v>
      </c>
      <c r="AH15" s="40">
        <v>0.25</v>
      </c>
      <c r="AI15" s="35" t="str">
        <f>+$J$15</f>
        <v>Empresas Publicas nacionales No Financieras - ADRES</v>
      </c>
      <c r="AJ15" s="49">
        <v>22323757500</v>
      </c>
      <c r="AK15" s="42"/>
      <c r="AL15" s="42"/>
      <c r="AM15" s="40">
        <f t="shared" si="4"/>
        <v>0</v>
      </c>
      <c r="AN15" s="40">
        <f t="shared" si="5"/>
        <v>0</v>
      </c>
      <c r="AO15" s="40">
        <f t="shared" si="6"/>
        <v>0</v>
      </c>
      <c r="AP15" s="43">
        <f t="shared" si="7"/>
        <v>0</v>
      </c>
      <c r="AQ15" s="40">
        <v>0.25</v>
      </c>
      <c r="AR15" s="35" t="str">
        <f>+$J$15</f>
        <v>Empresas Publicas nacionales No Financieras - ADRES</v>
      </c>
      <c r="AS15" s="49">
        <v>22323757500</v>
      </c>
      <c r="AT15" s="42"/>
      <c r="AU15" s="42"/>
      <c r="AV15" s="40">
        <f t="shared" si="8"/>
        <v>0</v>
      </c>
      <c r="AW15" s="40">
        <f t="shared" si="9"/>
        <v>0</v>
      </c>
      <c r="AX15" s="40">
        <f t="shared" si="10"/>
        <v>0</v>
      </c>
      <c r="AY15" s="40">
        <f t="shared" si="11"/>
        <v>0</v>
      </c>
      <c r="AZ15" s="40">
        <v>0.25</v>
      </c>
      <c r="BA15" s="35" t="str">
        <f>+$J$15</f>
        <v>Empresas Publicas nacionales No Financieras - ADRES</v>
      </c>
      <c r="BB15" s="49">
        <v>22323757500</v>
      </c>
      <c r="BC15" s="42"/>
      <c r="BD15" s="42"/>
      <c r="BE15" s="40">
        <f t="shared" si="12"/>
        <v>0</v>
      </c>
      <c r="BF15" s="40">
        <f t="shared" si="13"/>
        <v>0</v>
      </c>
      <c r="BG15" s="40">
        <f t="shared" si="14"/>
        <v>0</v>
      </c>
      <c r="BH15" s="40">
        <f t="shared" si="15"/>
        <v>0</v>
      </c>
      <c r="BI15" s="44">
        <f t="shared" si="16"/>
        <v>0</v>
      </c>
      <c r="BJ15" s="44">
        <f t="shared" si="17"/>
        <v>0</v>
      </c>
      <c r="BK15" s="44">
        <f t="shared" si="18"/>
        <v>0</v>
      </c>
      <c r="BL15" s="44">
        <f t="shared" si="19"/>
        <v>0</v>
      </c>
      <c r="BM15" s="44">
        <f t="shared" si="20"/>
        <v>0</v>
      </c>
      <c r="BN15" s="44">
        <f t="shared" si="21"/>
        <v>0</v>
      </c>
      <c r="BO15" s="44">
        <f t="shared" si="22"/>
        <v>0</v>
      </c>
      <c r="BP15" s="44">
        <f t="shared" si="23"/>
        <v>0</v>
      </c>
      <c r="BQ15" s="42"/>
    </row>
    <row r="16" spans="1:69" s="45" customFormat="1" ht="105" x14ac:dyDescent="0.25">
      <c r="A16" s="34">
        <v>11300</v>
      </c>
      <c r="B16" s="35" t="str">
        <f>+VLOOKUP(A16,'[1]TAB. REF. PA'!$A$4:$B$14,2,FALSE)</f>
        <v>Dirección de Gestión de Recursos Financieros de Salud</v>
      </c>
      <c r="C16" s="36" t="s">
        <v>160</v>
      </c>
      <c r="D16" s="35" t="s">
        <v>145</v>
      </c>
      <c r="E16" s="36" t="s">
        <v>161</v>
      </c>
      <c r="F16" s="35" t="s">
        <v>162</v>
      </c>
      <c r="G16" s="37" t="s">
        <v>123</v>
      </c>
      <c r="H16" s="46">
        <v>1</v>
      </c>
      <c r="I16" s="36" t="s">
        <v>297</v>
      </c>
      <c r="J16" s="38" t="s">
        <v>167</v>
      </c>
      <c r="K16" s="39">
        <v>3000000000</v>
      </c>
      <c r="L16" s="140">
        <v>7.0213296420096381E-5</v>
      </c>
      <c r="M16" s="41" t="s">
        <v>46</v>
      </c>
      <c r="N16" s="41" t="s">
        <v>68</v>
      </c>
      <c r="O16" s="41" t="s">
        <v>21</v>
      </c>
      <c r="P16" s="41" t="s">
        <v>36</v>
      </c>
      <c r="Q16" s="41" t="s">
        <v>213</v>
      </c>
      <c r="R16" s="42"/>
      <c r="S16" s="41" t="s">
        <v>182</v>
      </c>
      <c r="T16" s="41" t="s">
        <v>99</v>
      </c>
      <c r="U16" s="40">
        <v>1</v>
      </c>
      <c r="V16" s="35" t="str">
        <f>+$J$16</f>
        <v>Sentencias y Conciliaciones URA</v>
      </c>
      <c r="W16" s="39">
        <v>3000000000</v>
      </c>
      <c r="X16" s="34" t="s">
        <v>116</v>
      </c>
      <c r="Y16" s="40">
        <v>0.25</v>
      </c>
      <c r="Z16" s="35" t="str">
        <f>+$J$16</f>
        <v>Sentencias y Conciliaciones URA</v>
      </c>
      <c r="AA16" s="49">
        <v>750000000</v>
      </c>
      <c r="AB16" s="42"/>
      <c r="AC16" s="42"/>
      <c r="AD16" s="40">
        <f t="shared" si="0"/>
        <v>0</v>
      </c>
      <c r="AE16" s="40">
        <f t="shared" si="1"/>
        <v>0</v>
      </c>
      <c r="AF16" s="40">
        <f t="shared" si="2"/>
        <v>0</v>
      </c>
      <c r="AG16" s="40">
        <f t="shared" si="3"/>
        <v>0</v>
      </c>
      <c r="AH16" s="40">
        <v>0.25</v>
      </c>
      <c r="AI16" s="35" t="str">
        <f>+$J$16</f>
        <v>Sentencias y Conciliaciones URA</v>
      </c>
      <c r="AJ16" s="49">
        <v>750000000</v>
      </c>
      <c r="AK16" s="42"/>
      <c r="AL16" s="42"/>
      <c r="AM16" s="40">
        <f t="shared" si="4"/>
        <v>0</v>
      </c>
      <c r="AN16" s="40">
        <f t="shared" si="5"/>
        <v>0</v>
      </c>
      <c r="AO16" s="40">
        <f t="shared" si="6"/>
        <v>0</v>
      </c>
      <c r="AP16" s="43">
        <f t="shared" si="7"/>
        <v>0</v>
      </c>
      <c r="AQ16" s="40">
        <v>0.25</v>
      </c>
      <c r="AR16" s="35" t="str">
        <f>+$J$16</f>
        <v>Sentencias y Conciliaciones URA</v>
      </c>
      <c r="AS16" s="49">
        <v>750000000</v>
      </c>
      <c r="AT16" s="42"/>
      <c r="AU16" s="42"/>
      <c r="AV16" s="40">
        <f t="shared" si="8"/>
        <v>0</v>
      </c>
      <c r="AW16" s="40">
        <f t="shared" si="9"/>
        <v>0</v>
      </c>
      <c r="AX16" s="40">
        <f t="shared" si="10"/>
        <v>0</v>
      </c>
      <c r="AY16" s="40">
        <f t="shared" si="11"/>
        <v>0</v>
      </c>
      <c r="AZ16" s="40">
        <v>0.25</v>
      </c>
      <c r="BA16" s="35" t="str">
        <f>+$J$16</f>
        <v>Sentencias y Conciliaciones URA</v>
      </c>
      <c r="BB16" s="49">
        <v>750000000</v>
      </c>
      <c r="BC16" s="42"/>
      <c r="BD16" s="42"/>
      <c r="BE16" s="40">
        <f t="shared" si="12"/>
        <v>0</v>
      </c>
      <c r="BF16" s="40">
        <f t="shared" si="13"/>
        <v>0</v>
      </c>
      <c r="BG16" s="40">
        <f t="shared" si="14"/>
        <v>0</v>
      </c>
      <c r="BH16" s="40">
        <f t="shared" si="15"/>
        <v>0</v>
      </c>
      <c r="BI16" s="44">
        <f t="shared" si="16"/>
        <v>0</v>
      </c>
      <c r="BJ16" s="44">
        <f t="shared" si="17"/>
        <v>0</v>
      </c>
      <c r="BK16" s="44">
        <f t="shared" si="18"/>
        <v>0</v>
      </c>
      <c r="BL16" s="44">
        <f t="shared" si="19"/>
        <v>0</v>
      </c>
      <c r="BM16" s="44">
        <f t="shared" si="20"/>
        <v>0</v>
      </c>
      <c r="BN16" s="44">
        <f t="shared" si="21"/>
        <v>0</v>
      </c>
      <c r="BO16" s="44">
        <f t="shared" si="22"/>
        <v>0</v>
      </c>
      <c r="BP16" s="44">
        <f t="shared" si="23"/>
        <v>0</v>
      </c>
      <c r="BQ16" s="42"/>
    </row>
    <row r="17" spans="1:69" s="45" customFormat="1" ht="105" x14ac:dyDescent="0.25">
      <c r="A17" s="34">
        <v>11300</v>
      </c>
      <c r="B17" s="35" t="str">
        <f>+VLOOKUP(A17,'[1]TAB. REF. PA'!$A$4:$B$14,2,FALSE)</f>
        <v>Dirección de Gestión de Recursos Financieros de Salud</v>
      </c>
      <c r="C17" s="36" t="s">
        <v>160</v>
      </c>
      <c r="D17" s="35" t="s">
        <v>145</v>
      </c>
      <c r="E17" s="36" t="s">
        <v>161</v>
      </c>
      <c r="F17" s="35" t="s">
        <v>162</v>
      </c>
      <c r="G17" s="37" t="s">
        <v>123</v>
      </c>
      <c r="H17" s="46">
        <v>1</v>
      </c>
      <c r="I17" s="36" t="s">
        <v>298</v>
      </c>
      <c r="J17" s="38" t="s">
        <v>163</v>
      </c>
      <c r="K17" s="39">
        <v>12016226455000</v>
      </c>
      <c r="L17" s="140">
        <v>0.28123295664530629</v>
      </c>
      <c r="M17" s="41" t="s">
        <v>46</v>
      </c>
      <c r="N17" s="41" t="s">
        <v>68</v>
      </c>
      <c r="O17" s="41" t="s">
        <v>21</v>
      </c>
      <c r="P17" s="41" t="s">
        <v>36</v>
      </c>
      <c r="Q17" s="41" t="s">
        <v>213</v>
      </c>
      <c r="R17" s="42"/>
      <c r="S17" s="41" t="s">
        <v>182</v>
      </c>
      <c r="T17" s="41" t="s">
        <v>99</v>
      </c>
      <c r="U17" s="40">
        <v>1</v>
      </c>
      <c r="V17" s="35" t="str">
        <f>+$J$17</f>
        <v>Financiación UPC Régimen Contributivo SSF</v>
      </c>
      <c r="W17" s="39">
        <v>12016226455000</v>
      </c>
      <c r="X17" s="34" t="s">
        <v>116</v>
      </c>
      <c r="Y17" s="40">
        <v>0.25</v>
      </c>
      <c r="Z17" s="35" t="str">
        <f>+$J$17</f>
        <v>Financiación UPC Régimen Contributivo SSF</v>
      </c>
      <c r="AA17" s="49">
        <v>3004056613750</v>
      </c>
      <c r="AB17" s="42"/>
      <c r="AC17" s="42"/>
      <c r="AD17" s="40">
        <f t="shared" si="0"/>
        <v>0</v>
      </c>
      <c r="AE17" s="40">
        <f t="shared" si="1"/>
        <v>0</v>
      </c>
      <c r="AF17" s="40">
        <f t="shared" si="2"/>
        <v>0</v>
      </c>
      <c r="AG17" s="40">
        <f t="shared" si="3"/>
        <v>0</v>
      </c>
      <c r="AH17" s="40">
        <v>0.25</v>
      </c>
      <c r="AI17" s="35" t="str">
        <f>+$J$17</f>
        <v>Financiación UPC Régimen Contributivo SSF</v>
      </c>
      <c r="AJ17" s="49">
        <v>3004056613750</v>
      </c>
      <c r="AK17" s="42"/>
      <c r="AL17" s="42"/>
      <c r="AM17" s="40">
        <f t="shared" si="4"/>
        <v>0</v>
      </c>
      <c r="AN17" s="40">
        <f t="shared" si="5"/>
        <v>0</v>
      </c>
      <c r="AO17" s="40">
        <f t="shared" si="6"/>
        <v>0</v>
      </c>
      <c r="AP17" s="43">
        <f t="shared" si="7"/>
        <v>0</v>
      </c>
      <c r="AQ17" s="40">
        <v>0.25</v>
      </c>
      <c r="AR17" s="35" t="str">
        <f>+$J$17</f>
        <v>Financiación UPC Régimen Contributivo SSF</v>
      </c>
      <c r="AS17" s="49">
        <v>3004056613750</v>
      </c>
      <c r="AT17" s="42"/>
      <c r="AU17" s="42"/>
      <c r="AV17" s="40">
        <f t="shared" si="8"/>
        <v>0</v>
      </c>
      <c r="AW17" s="40">
        <f t="shared" si="9"/>
        <v>0</v>
      </c>
      <c r="AX17" s="40">
        <f t="shared" si="10"/>
        <v>0</v>
      </c>
      <c r="AY17" s="40">
        <f t="shared" si="11"/>
        <v>0</v>
      </c>
      <c r="AZ17" s="40">
        <v>0.25</v>
      </c>
      <c r="BA17" s="35" t="str">
        <f>+$J$17</f>
        <v>Financiación UPC Régimen Contributivo SSF</v>
      </c>
      <c r="BB17" s="49">
        <v>3004056613750</v>
      </c>
      <c r="BC17" s="42"/>
      <c r="BD17" s="42"/>
      <c r="BE17" s="40">
        <f t="shared" si="12"/>
        <v>0</v>
      </c>
      <c r="BF17" s="40">
        <f t="shared" si="13"/>
        <v>0</v>
      </c>
      <c r="BG17" s="40">
        <f t="shared" si="14"/>
        <v>0</v>
      </c>
      <c r="BH17" s="40">
        <f t="shared" si="15"/>
        <v>0</v>
      </c>
      <c r="BI17" s="44">
        <f t="shared" si="16"/>
        <v>0</v>
      </c>
      <c r="BJ17" s="44">
        <f t="shared" si="17"/>
        <v>0</v>
      </c>
      <c r="BK17" s="44">
        <f t="shared" si="18"/>
        <v>0</v>
      </c>
      <c r="BL17" s="44">
        <f t="shared" si="19"/>
        <v>0</v>
      </c>
      <c r="BM17" s="44">
        <f t="shared" si="20"/>
        <v>0</v>
      </c>
      <c r="BN17" s="44">
        <f t="shared" si="21"/>
        <v>0</v>
      </c>
      <c r="BO17" s="44">
        <f t="shared" si="22"/>
        <v>0</v>
      </c>
      <c r="BP17" s="44">
        <f t="shared" si="23"/>
        <v>0</v>
      </c>
      <c r="BQ17" s="42"/>
    </row>
    <row r="18" spans="1:69" s="45" customFormat="1" ht="105" x14ac:dyDescent="0.25">
      <c r="A18" s="34">
        <v>11300</v>
      </c>
      <c r="B18" s="35" t="str">
        <f>+VLOOKUP(A18,'[1]TAB. REF. PA'!$A$4:$B$14,2,FALSE)</f>
        <v>Dirección de Gestión de Recursos Financieros de Salud</v>
      </c>
      <c r="C18" s="36" t="s">
        <v>160</v>
      </c>
      <c r="D18" s="35" t="s">
        <v>145</v>
      </c>
      <c r="E18" s="36" t="s">
        <v>161</v>
      </c>
      <c r="F18" s="35" t="s">
        <v>162</v>
      </c>
      <c r="G18" s="37" t="s">
        <v>123</v>
      </c>
      <c r="H18" s="46">
        <v>1</v>
      </c>
      <c r="I18" s="36" t="s">
        <v>299</v>
      </c>
      <c r="J18" s="38" t="s">
        <v>164</v>
      </c>
      <c r="K18" s="39">
        <v>9042819545000</v>
      </c>
      <c r="L18" s="140">
        <v>0.2116420563955087</v>
      </c>
      <c r="M18" s="41" t="s">
        <v>46</v>
      </c>
      <c r="N18" s="41" t="s">
        <v>68</v>
      </c>
      <c r="O18" s="41" t="s">
        <v>21</v>
      </c>
      <c r="P18" s="41" t="s">
        <v>36</v>
      </c>
      <c r="Q18" s="41" t="s">
        <v>213</v>
      </c>
      <c r="R18" s="42"/>
      <c r="S18" s="41" t="s">
        <v>182</v>
      </c>
      <c r="T18" s="41" t="s">
        <v>99</v>
      </c>
      <c r="U18" s="40">
        <v>1</v>
      </c>
      <c r="V18" s="35" t="str">
        <f>+$J$18</f>
        <v>Financiación UPC Régimen Contributivo CSF</v>
      </c>
      <c r="W18" s="39">
        <v>9042819545000</v>
      </c>
      <c r="X18" s="34" t="s">
        <v>116</v>
      </c>
      <c r="Y18" s="40">
        <v>0.25</v>
      </c>
      <c r="Z18" s="35" t="str">
        <f>+$J$18</f>
        <v>Financiación UPC Régimen Contributivo CSF</v>
      </c>
      <c r="AA18" s="49">
        <v>2260704886250</v>
      </c>
      <c r="AB18" s="42"/>
      <c r="AC18" s="42"/>
      <c r="AD18" s="40">
        <f t="shared" si="0"/>
        <v>0</v>
      </c>
      <c r="AE18" s="40">
        <f t="shared" si="1"/>
        <v>0</v>
      </c>
      <c r="AF18" s="40">
        <f t="shared" si="2"/>
        <v>0</v>
      </c>
      <c r="AG18" s="40">
        <f t="shared" si="3"/>
        <v>0</v>
      </c>
      <c r="AH18" s="40">
        <v>0.25</v>
      </c>
      <c r="AI18" s="35" t="str">
        <f>+$J$18</f>
        <v>Financiación UPC Régimen Contributivo CSF</v>
      </c>
      <c r="AJ18" s="49">
        <v>2260704886250</v>
      </c>
      <c r="AK18" s="42"/>
      <c r="AL18" s="42"/>
      <c r="AM18" s="40">
        <f t="shared" si="4"/>
        <v>0</v>
      </c>
      <c r="AN18" s="40">
        <f t="shared" si="5"/>
        <v>0</v>
      </c>
      <c r="AO18" s="40">
        <f t="shared" si="6"/>
        <v>0</v>
      </c>
      <c r="AP18" s="43">
        <f t="shared" si="7"/>
        <v>0</v>
      </c>
      <c r="AQ18" s="40">
        <v>0.25</v>
      </c>
      <c r="AR18" s="35" t="str">
        <f>+$J$18</f>
        <v>Financiación UPC Régimen Contributivo CSF</v>
      </c>
      <c r="AS18" s="49">
        <v>2260704886250</v>
      </c>
      <c r="AT18" s="42"/>
      <c r="AU18" s="42"/>
      <c r="AV18" s="40">
        <f t="shared" si="8"/>
        <v>0</v>
      </c>
      <c r="AW18" s="40">
        <f t="shared" si="9"/>
        <v>0</v>
      </c>
      <c r="AX18" s="40">
        <f t="shared" si="10"/>
        <v>0</v>
      </c>
      <c r="AY18" s="40">
        <f t="shared" si="11"/>
        <v>0</v>
      </c>
      <c r="AZ18" s="40">
        <v>0.25</v>
      </c>
      <c r="BA18" s="35" t="str">
        <f>+$J$18</f>
        <v>Financiación UPC Régimen Contributivo CSF</v>
      </c>
      <c r="BB18" s="49">
        <v>2260704886250</v>
      </c>
      <c r="BC18" s="42"/>
      <c r="BD18" s="42"/>
      <c r="BE18" s="40">
        <f t="shared" si="12"/>
        <v>0</v>
      </c>
      <c r="BF18" s="40">
        <f t="shared" si="13"/>
        <v>0</v>
      </c>
      <c r="BG18" s="40">
        <f t="shared" si="14"/>
        <v>0</v>
      </c>
      <c r="BH18" s="40">
        <f t="shared" si="15"/>
        <v>0</v>
      </c>
      <c r="BI18" s="44">
        <f t="shared" si="16"/>
        <v>0</v>
      </c>
      <c r="BJ18" s="44">
        <f t="shared" si="17"/>
        <v>0</v>
      </c>
      <c r="BK18" s="44">
        <f t="shared" si="18"/>
        <v>0</v>
      </c>
      <c r="BL18" s="44">
        <f t="shared" si="19"/>
        <v>0</v>
      </c>
      <c r="BM18" s="44">
        <f t="shared" si="20"/>
        <v>0</v>
      </c>
      <c r="BN18" s="44">
        <f t="shared" si="21"/>
        <v>0</v>
      </c>
      <c r="BO18" s="44">
        <f t="shared" si="22"/>
        <v>0</v>
      </c>
      <c r="BP18" s="44">
        <f t="shared" si="23"/>
        <v>0</v>
      </c>
      <c r="BQ18" s="42"/>
    </row>
    <row r="19" spans="1:69" s="45" customFormat="1" ht="105" x14ac:dyDescent="0.25">
      <c r="A19" s="34">
        <v>11300</v>
      </c>
      <c r="B19" s="35" t="str">
        <f>+VLOOKUP(A19,'[1]TAB. REF. PA'!$A$4:$B$14,2,FALSE)</f>
        <v>Dirección de Gestión de Recursos Financieros de Salud</v>
      </c>
      <c r="C19" s="36" t="s">
        <v>160</v>
      </c>
      <c r="D19" s="35" t="s">
        <v>145</v>
      </c>
      <c r="E19" s="36" t="s">
        <v>161</v>
      </c>
      <c r="F19" s="35" t="s">
        <v>162</v>
      </c>
      <c r="G19" s="37" t="s">
        <v>123</v>
      </c>
      <c r="H19" s="46">
        <v>1</v>
      </c>
      <c r="I19" s="36" t="s">
        <v>300</v>
      </c>
      <c r="J19" s="38" t="s">
        <v>173</v>
      </c>
      <c r="K19" s="39">
        <v>80000000000</v>
      </c>
      <c r="L19" s="140">
        <v>1.8723545712025702E-3</v>
      </c>
      <c r="M19" s="41" t="s">
        <v>46</v>
      </c>
      <c r="N19" s="41" t="s">
        <v>68</v>
      </c>
      <c r="O19" s="41" t="s">
        <v>21</v>
      </c>
      <c r="P19" s="41" t="s">
        <v>36</v>
      </c>
      <c r="Q19" s="41" t="s">
        <v>213</v>
      </c>
      <c r="R19" s="42"/>
      <c r="S19" s="41" t="s">
        <v>182</v>
      </c>
      <c r="T19" s="41" t="s">
        <v>99</v>
      </c>
      <c r="U19" s="40">
        <v>1</v>
      </c>
      <c r="V19" s="35" t="str">
        <f>+$J$19</f>
        <v>Devolución de Aportes y Cotizaciones no conciliadas de vigencias anteriores</v>
      </c>
      <c r="W19" s="39">
        <v>80000000000</v>
      </c>
      <c r="X19" s="34" t="s">
        <v>116</v>
      </c>
      <c r="Y19" s="40">
        <v>0.25</v>
      </c>
      <c r="Z19" s="35" t="str">
        <f>+$J$19</f>
        <v>Devolución de Aportes y Cotizaciones no conciliadas de vigencias anteriores</v>
      </c>
      <c r="AA19" s="49">
        <v>20000000000</v>
      </c>
      <c r="AB19" s="42"/>
      <c r="AC19" s="42"/>
      <c r="AD19" s="40">
        <f t="shared" si="0"/>
        <v>0</v>
      </c>
      <c r="AE19" s="40">
        <f t="shared" si="1"/>
        <v>0</v>
      </c>
      <c r="AF19" s="40">
        <f t="shared" si="2"/>
        <v>0</v>
      </c>
      <c r="AG19" s="40">
        <f t="shared" si="3"/>
        <v>0</v>
      </c>
      <c r="AH19" s="40">
        <v>0.25</v>
      </c>
      <c r="AI19" s="35" t="str">
        <f>+$J$19</f>
        <v>Devolución de Aportes y Cotizaciones no conciliadas de vigencias anteriores</v>
      </c>
      <c r="AJ19" s="49">
        <v>20000000000</v>
      </c>
      <c r="AK19" s="42"/>
      <c r="AL19" s="42"/>
      <c r="AM19" s="40">
        <f t="shared" si="4"/>
        <v>0</v>
      </c>
      <c r="AN19" s="40">
        <f t="shared" si="5"/>
        <v>0</v>
      </c>
      <c r="AO19" s="40">
        <f t="shared" si="6"/>
        <v>0</v>
      </c>
      <c r="AP19" s="43">
        <f t="shared" si="7"/>
        <v>0</v>
      </c>
      <c r="AQ19" s="40">
        <v>0.25</v>
      </c>
      <c r="AR19" s="35" t="str">
        <f>+$J$19</f>
        <v>Devolución de Aportes y Cotizaciones no conciliadas de vigencias anteriores</v>
      </c>
      <c r="AS19" s="49">
        <v>20000000000</v>
      </c>
      <c r="AT19" s="42"/>
      <c r="AU19" s="42"/>
      <c r="AV19" s="40">
        <f t="shared" si="8"/>
        <v>0</v>
      </c>
      <c r="AW19" s="40">
        <f t="shared" si="9"/>
        <v>0</v>
      </c>
      <c r="AX19" s="40">
        <f t="shared" si="10"/>
        <v>0</v>
      </c>
      <c r="AY19" s="40">
        <f t="shared" si="11"/>
        <v>0</v>
      </c>
      <c r="AZ19" s="40">
        <v>0.25</v>
      </c>
      <c r="BA19" s="35" t="str">
        <f>+$J$19</f>
        <v>Devolución de Aportes y Cotizaciones no conciliadas de vigencias anteriores</v>
      </c>
      <c r="BB19" s="49">
        <v>20000000000</v>
      </c>
      <c r="BC19" s="42"/>
      <c r="BD19" s="42"/>
      <c r="BE19" s="40">
        <f t="shared" si="12"/>
        <v>0</v>
      </c>
      <c r="BF19" s="40">
        <f t="shared" si="13"/>
        <v>0</v>
      </c>
      <c r="BG19" s="40">
        <f t="shared" si="14"/>
        <v>0</v>
      </c>
      <c r="BH19" s="40">
        <f t="shared" si="15"/>
        <v>0</v>
      </c>
      <c r="BI19" s="44">
        <f t="shared" si="16"/>
        <v>0</v>
      </c>
      <c r="BJ19" s="44">
        <f t="shared" si="17"/>
        <v>0</v>
      </c>
      <c r="BK19" s="44">
        <f t="shared" si="18"/>
        <v>0</v>
      </c>
      <c r="BL19" s="44">
        <f t="shared" si="19"/>
        <v>0</v>
      </c>
      <c r="BM19" s="44">
        <f t="shared" si="20"/>
        <v>0</v>
      </c>
      <c r="BN19" s="44">
        <f t="shared" si="21"/>
        <v>0</v>
      </c>
      <c r="BO19" s="44">
        <f t="shared" si="22"/>
        <v>0</v>
      </c>
      <c r="BP19" s="44">
        <f t="shared" si="23"/>
        <v>0</v>
      </c>
      <c r="BQ19" s="42"/>
    </row>
    <row r="20" spans="1:69" s="45" customFormat="1" ht="105" x14ac:dyDescent="0.25">
      <c r="A20" s="34">
        <v>11300</v>
      </c>
      <c r="B20" s="35" t="str">
        <f>+VLOOKUP(A20,'[1]TAB. REF. PA'!$A$4:$B$14,2,FALSE)</f>
        <v>Dirección de Gestión de Recursos Financieros de Salud</v>
      </c>
      <c r="C20" s="36" t="s">
        <v>160</v>
      </c>
      <c r="D20" s="35" t="s">
        <v>145</v>
      </c>
      <c r="E20" s="36" t="s">
        <v>161</v>
      </c>
      <c r="F20" s="35" t="s">
        <v>162</v>
      </c>
      <c r="G20" s="37" t="s">
        <v>123</v>
      </c>
      <c r="H20" s="46">
        <v>1</v>
      </c>
      <c r="I20" s="36" t="s">
        <v>301</v>
      </c>
      <c r="J20" s="38" t="s">
        <v>174</v>
      </c>
      <c r="K20" s="39">
        <v>7000000000</v>
      </c>
      <c r="L20" s="140">
        <v>1.6383102498022489E-4</v>
      </c>
      <c r="M20" s="41" t="s">
        <v>46</v>
      </c>
      <c r="N20" s="41" t="s">
        <v>68</v>
      </c>
      <c r="O20" s="41" t="s">
        <v>21</v>
      </c>
      <c r="P20" s="41" t="s">
        <v>36</v>
      </c>
      <c r="Q20" s="41" t="s">
        <v>213</v>
      </c>
      <c r="R20" s="42"/>
      <c r="S20" s="41" t="s">
        <v>182</v>
      </c>
      <c r="T20" s="41" t="s">
        <v>99</v>
      </c>
      <c r="U20" s="40">
        <v>1</v>
      </c>
      <c r="V20" s="35" t="str">
        <f>+$J$20</f>
        <v>Rendimientos Financieros saldo de Aportes Patronales no compensados - Art, 12 Decreto 1363 de 2016</v>
      </c>
      <c r="W20" s="39">
        <v>7000000000</v>
      </c>
      <c r="X20" s="34" t="s">
        <v>116</v>
      </c>
      <c r="Y20" s="40">
        <v>0.25</v>
      </c>
      <c r="Z20" s="35" t="str">
        <f>+$J$20</f>
        <v>Rendimientos Financieros saldo de Aportes Patronales no compensados - Art, 12 Decreto 1363 de 2016</v>
      </c>
      <c r="AA20" s="49">
        <v>1750000000</v>
      </c>
      <c r="AB20" s="42"/>
      <c r="AC20" s="42"/>
      <c r="AD20" s="40">
        <f t="shared" si="0"/>
        <v>0</v>
      </c>
      <c r="AE20" s="40">
        <f t="shared" si="1"/>
        <v>0</v>
      </c>
      <c r="AF20" s="40">
        <f t="shared" si="2"/>
        <v>0</v>
      </c>
      <c r="AG20" s="40">
        <f t="shared" si="3"/>
        <v>0</v>
      </c>
      <c r="AH20" s="40">
        <v>0.25</v>
      </c>
      <c r="AI20" s="35" t="str">
        <f>+$J$20</f>
        <v>Rendimientos Financieros saldo de Aportes Patronales no compensados - Art, 12 Decreto 1363 de 2016</v>
      </c>
      <c r="AJ20" s="49">
        <v>1750000000</v>
      </c>
      <c r="AK20" s="42"/>
      <c r="AL20" s="42"/>
      <c r="AM20" s="40">
        <f t="shared" si="4"/>
        <v>0</v>
      </c>
      <c r="AN20" s="40">
        <f t="shared" si="5"/>
        <v>0</v>
      </c>
      <c r="AO20" s="40">
        <f t="shared" si="6"/>
        <v>0</v>
      </c>
      <c r="AP20" s="43">
        <f t="shared" si="7"/>
        <v>0</v>
      </c>
      <c r="AQ20" s="40">
        <v>0.25</v>
      </c>
      <c r="AR20" s="35" t="str">
        <f>+$J$20</f>
        <v>Rendimientos Financieros saldo de Aportes Patronales no compensados - Art, 12 Decreto 1363 de 2016</v>
      </c>
      <c r="AS20" s="49">
        <v>1750000000</v>
      </c>
      <c r="AT20" s="42"/>
      <c r="AU20" s="42"/>
      <c r="AV20" s="40">
        <f t="shared" si="8"/>
        <v>0</v>
      </c>
      <c r="AW20" s="40">
        <f t="shared" si="9"/>
        <v>0</v>
      </c>
      <c r="AX20" s="40">
        <f t="shared" si="10"/>
        <v>0</v>
      </c>
      <c r="AY20" s="40">
        <f t="shared" si="11"/>
        <v>0</v>
      </c>
      <c r="AZ20" s="40">
        <v>0.25</v>
      </c>
      <c r="BA20" s="35" t="str">
        <f>+$J$20</f>
        <v>Rendimientos Financieros saldo de Aportes Patronales no compensados - Art, 12 Decreto 1363 de 2016</v>
      </c>
      <c r="BB20" s="49">
        <v>1750000000</v>
      </c>
      <c r="BC20" s="42"/>
      <c r="BD20" s="42"/>
      <c r="BE20" s="40">
        <f t="shared" si="12"/>
        <v>0</v>
      </c>
      <c r="BF20" s="40">
        <f t="shared" si="13"/>
        <v>0</v>
      </c>
      <c r="BG20" s="40">
        <f t="shared" si="14"/>
        <v>0</v>
      </c>
      <c r="BH20" s="40">
        <f t="shared" si="15"/>
        <v>0</v>
      </c>
      <c r="BI20" s="44">
        <f t="shared" si="16"/>
        <v>0</v>
      </c>
      <c r="BJ20" s="44">
        <f t="shared" si="17"/>
        <v>0</v>
      </c>
      <c r="BK20" s="44">
        <f t="shared" si="18"/>
        <v>0</v>
      </c>
      <c r="BL20" s="44">
        <f t="shared" si="19"/>
        <v>0</v>
      </c>
      <c r="BM20" s="44">
        <f t="shared" si="20"/>
        <v>0</v>
      </c>
      <c r="BN20" s="44">
        <f t="shared" si="21"/>
        <v>0</v>
      </c>
      <c r="BO20" s="44">
        <f t="shared" si="22"/>
        <v>0</v>
      </c>
      <c r="BP20" s="44">
        <f t="shared" si="23"/>
        <v>0</v>
      </c>
      <c r="BQ20" s="42"/>
    </row>
    <row r="21" spans="1:69" s="45" customFormat="1" ht="105" x14ac:dyDescent="0.25">
      <c r="A21" s="34">
        <v>11300</v>
      </c>
      <c r="B21" s="35" t="str">
        <f>+VLOOKUP(A21,'[1]TAB. REF. PA'!$A$4:$B$14,2,FALSE)</f>
        <v>Dirección de Gestión de Recursos Financieros de Salud</v>
      </c>
      <c r="C21" s="36" t="s">
        <v>160</v>
      </c>
      <c r="D21" s="35" t="s">
        <v>145</v>
      </c>
      <c r="E21" s="36" t="s">
        <v>161</v>
      </c>
      <c r="F21" s="35" t="s">
        <v>162</v>
      </c>
      <c r="G21" s="37" t="s">
        <v>123</v>
      </c>
      <c r="H21" s="46">
        <v>1</v>
      </c>
      <c r="I21" s="36" t="s">
        <v>302</v>
      </c>
      <c r="J21" s="38" t="s">
        <v>573</v>
      </c>
      <c r="K21" s="39">
        <v>483767006000</v>
      </c>
      <c r="L21" s="140">
        <v>1.1322292063513515E-2</v>
      </c>
      <c r="M21" s="41" t="s">
        <v>46</v>
      </c>
      <c r="N21" s="41" t="s">
        <v>68</v>
      </c>
      <c r="O21" s="41" t="s">
        <v>21</v>
      </c>
      <c r="P21" s="41" t="s">
        <v>36</v>
      </c>
      <c r="Q21" s="41" t="s">
        <v>213</v>
      </c>
      <c r="R21" s="42"/>
      <c r="S21" s="41" t="s">
        <v>182</v>
      </c>
      <c r="T21" s="41" t="s">
        <v>99</v>
      </c>
      <c r="U21" s="40">
        <v>1</v>
      </c>
      <c r="V21" s="35" t="str">
        <f>+J21</f>
        <v>Per capita Programas de Promoción y Prevención</v>
      </c>
      <c r="W21" s="39">
        <v>483767006000</v>
      </c>
      <c r="X21" s="34" t="s">
        <v>116</v>
      </c>
      <c r="Y21" s="40">
        <v>0.25</v>
      </c>
      <c r="Z21" s="35" t="str">
        <f>+N21</f>
        <v>3.1. Gestión presupuestal y eficiencia del gasto público</v>
      </c>
      <c r="AA21" s="49">
        <v>120941751500</v>
      </c>
      <c r="AB21" s="42"/>
      <c r="AC21" s="42"/>
      <c r="AD21" s="40">
        <f t="shared" si="0"/>
        <v>0</v>
      </c>
      <c r="AE21" s="40">
        <f t="shared" si="1"/>
        <v>0</v>
      </c>
      <c r="AF21" s="40">
        <f t="shared" si="2"/>
        <v>0</v>
      </c>
      <c r="AG21" s="40">
        <f t="shared" si="3"/>
        <v>0</v>
      </c>
      <c r="AH21" s="40">
        <v>0.25</v>
      </c>
      <c r="AI21" s="35">
        <f>+W21</f>
        <v>483767006000</v>
      </c>
      <c r="AJ21" s="49">
        <v>120941751500</v>
      </c>
      <c r="AK21" s="42"/>
      <c r="AL21" s="42"/>
      <c r="AM21" s="40">
        <f t="shared" si="4"/>
        <v>0</v>
      </c>
      <c r="AN21" s="40">
        <f t="shared" si="5"/>
        <v>0</v>
      </c>
      <c r="AO21" s="40">
        <f t="shared" si="6"/>
        <v>0</v>
      </c>
      <c r="AP21" s="43">
        <f t="shared" si="7"/>
        <v>0</v>
      </c>
      <c r="AQ21" s="40">
        <v>0.25</v>
      </c>
      <c r="AR21" s="35">
        <f>+AF21</f>
        <v>0</v>
      </c>
      <c r="AS21" s="49">
        <v>120941751500</v>
      </c>
      <c r="AT21" s="42"/>
      <c r="AU21" s="42"/>
      <c r="AV21" s="40">
        <f t="shared" si="8"/>
        <v>0</v>
      </c>
      <c r="AW21" s="40">
        <f t="shared" si="9"/>
        <v>0</v>
      </c>
      <c r="AX21" s="40">
        <f t="shared" si="10"/>
        <v>0</v>
      </c>
      <c r="AY21" s="40">
        <f t="shared" si="11"/>
        <v>0</v>
      </c>
      <c r="AZ21" s="40">
        <v>0.25</v>
      </c>
      <c r="BA21" s="35">
        <f>+AO21</f>
        <v>0</v>
      </c>
      <c r="BB21" s="49">
        <v>120941751500</v>
      </c>
      <c r="BC21" s="42"/>
      <c r="BD21" s="42"/>
      <c r="BE21" s="40">
        <f t="shared" si="12"/>
        <v>0</v>
      </c>
      <c r="BF21" s="40">
        <f t="shared" si="13"/>
        <v>0</v>
      </c>
      <c r="BG21" s="40">
        <f t="shared" si="14"/>
        <v>0</v>
      </c>
      <c r="BH21" s="40">
        <f t="shared" si="15"/>
        <v>0</v>
      </c>
      <c r="BI21" s="44">
        <f t="shared" si="16"/>
        <v>0</v>
      </c>
      <c r="BJ21" s="44">
        <f t="shared" si="17"/>
        <v>0</v>
      </c>
      <c r="BK21" s="44">
        <f t="shared" si="18"/>
        <v>0</v>
      </c>
      <c r="BL21" s="44">
        <f t="shared" si="19"/>
        <v>0</v>
      </c>
      <c r="BM21" s="44">
        <f t="shared" si="20"/>
        <v>0</v>
      </c>
      <c r="BN21" s="44">
        <f t="shared" si="21"/>
        <v>0</v>
      </c>
      <c r="BO21" s="44">
        <f t="shared" si="22"/>
        <v>0</v>
      </c>
      <c r="BP21" s="44">
        <f t="shared" si="23"/>
        <v>0</v>
      </c>
      <c r="BQ21" s="42"/>
    </row>
    <row r="22" spans="1:69" s="45" customFormat="1" ht="105" x14ac:dyDescent="0.25">
      <c r="A22" s="34">
        <v>11300</v>
      </c>
      <c r="B22" s="35" t="str">
        <f>+VLOOKUP(A22,'[1]TAB. REF. PA'!$A$4:$B$14,2,FALSE)</f>
        <v>Dirección de Gestión de Recursos Financieros de Salud</v>
      </c>
      <c r="C22" s="36" t="s">
        <v>160</v>
      </c>
      <c r="D22" s="35" t="s">
        <v>145</v>
      </c>
      <c r="E22" s="36" t="s">
        <v>161</v>
      </c>
      <c r="F22" s="35" t="s">
        <v>162</v>
      </c>
      <c r="G22" s="37" t="s">
        <v>123</v>
      </c>
      <c r="H22" s="46">
        <v>1</v>
      </c>
      <c r="I22" s="36" t="s">
        <v>303</v>
      </c>
      <c r="J22" s="38" t="s">
        <v>168</v>
      </c>
      <c r="K22" s="39">
        <v>799680177000</v>
      </c>
      <c r="L22" s="140">
        <v>1.8716060436325382E-2</v>
      </c>
      <c r="M22" s="41" t="s">
        <v>46</v>
      </c>
      <c r="N22" s="41" t="s">
        <v>68</v>
      </c>
      <c r="O22" s="41" t="s">
        <v>21</v>
      </c>
      <c r="P22" s="41" t="s">
        <v>36</v>
      </c>
      <c r="Q22" s="41" t="s">
        <v>213</v>
      </c>
      <c r="R22" s="42"/>
      <c r="S22" s="41" t="s">
        <v>182</v>
      </c>
      <c r="T22" s="41" t="s">
        <v>99</v>
      </c>
      <c r="U22" s="40">
        <v>1</v>
      </c>
      <c r="V22" s="35" t="str">
        <f>+$J$22</f>
        <v>Incapacidades</v>
      </c>
      <c r="W22" s="39">
        <v>799680177000</v>
      </c>
      <c r="X22" s="34" t="s">
        <v>116</v>
      </c>
      <c r="Y22" s="40">
        <v>0.25</v>
      </c>
      <c r="Z22" s="35" t="str">
        <f>+$J$22</f>
        <v>Incapacidades</v>
      </c>
      <c r="AA22" s="49">
        <v>199920044250</v>
      </c>
      <c r="AB22" s="42"/>
      <c r="AC22" s="42"/>
      <c r="AD22" s="40">
        <f t="shared" si="0"/>
        <v>0</v>
      </c>
      <c r="AE22" s="40">
        <f t="shared" si="1"/>
        <v>0</v>
      </c>
      <c r="AF22" s="40">
        <f t="shared" si="2"/>
        <v>0</v>
      </c>
      <c r="AG22" s="40">
        <f t="shared" si="3"/>
        <v>0</v>
      </c>
      <c r="AH22" s="40">
        <v>0.25</v>
      </c>
      <c r="AI22" s="35" t="str">
        <f>+$J$22</f>
        <v>Incapacidades</v>
      </c>
      <c r="AJ22" s="49">
        <v>199920044250</v>
      </c>
      <c r="AK22" s="42"/>
      <c r="AL22" s="42"/>
      <c r="AM22" s="40">
        <f t="shared" si="4"/>
        <v>0</v>
      </c>
      <c r="AN22" s="40">
        <f t="shared" si="5"/>
        <v>0</v>
      </c>
      <c r="AO22" s="40">
        <f t="shared" si="6"/>
        <v>0</v>
      </c>
      <c r="AP22" s="43">
        <f t="shared" si="7"/>
        <v>0</v>
      </c>
      <c r="AQ22" s="40">
        <v>0.25</v>
      </c>
      <c r="AR22" s="35" t="str">
        <f>+$J$22</f>
        <v>Incapacidades</v>
      </c>
      <c r="AS22" s="49">
        <v>199920044250</v>
      </c>
      <c r="AT22" s="42"/>
      <c r="AU22" s="42"/>
      <c r="AV22" s="40">
        <f t="shared" si="8"/>
        <v>0</v>
      </c>
      <c r="AW22" s="40">
        <f t="shared" si="9"/>
        <v>0</v>
      </c>
      <c r="AX22" s="40">
        <f t="shared" si="10"/>
        <v>0</v>
      </c>
      <c r="AY22" s="40">
        <f t="shared" si="11"/>
        <v>0</v>
      </c>
      <c r="AZ22" s="40">
        <v>0.25</v>
      </c>
      <c r="BA22" s="35" t="str">
        <f>+$J$22</f>
        <v>Incapacidades</v>
      </c>
      <c r="BB22" s="49">
        <v>199920044250</v>
      </c>
      <c r="BC22" s="42"/>
      <c r="BD22" s="42"/>
      <c r="BE22" s="40">
        <f t="shared" si="12"/>
        <v>0</v>
      </c>
      <c r="BF22" s="40">
        <f t="shared" si="13"/>
        <v>0</v>
      </c>
      <c r="BG22" s="40">
        <f t="shared" si="14"/>
        <v>0</v>
      </c>
      <c r="BH22" s="40">
        <f t="shared" si="15"/>
        <v>0</v>
      </c>
      <c r="BI22" s="44">
        <f t="shared" si="16"/>
        <v>0</v>
      </c>
      <c r="BJ22" s="44">
        <f t="shared" si="17"/>
        <v>0</v>
      </c>
      <c r="BK22" s="44">
        <f t="shared" si="18"/>
        <v>0</v>
      </c>
      <c r="BL22" s="44">
        <f t="shared" si="19"/>
        <v>0</v>
      </c>
      <c r="BM22" s="44">
        <f t="shared" si="20"/>
        <v>0</v>
      </c>
      <c r="BN22" s="44">
        <f t="shared" si="21"/>
        <v>0</v>
      </c>
      <c r="BO22" s="44">
        <f t="shared" si="22"/>
        <v>0</v>
      </c>
      <c r="BP22" s="44">
        <f t="shared" si="23"/>
        <v>0</v>
      </c>
      <c r="BQ22" s="42"/>
    </row>
    <row r="23" spans="1:69" s="45" customFormat="1" ht="105" x14ac:dyDescent="0.25">
      <c r="A23" s="34">
        <v>11300</v>
      </c>
      <c r="B23" s="35" t="str">
        <f>+VLOOKUP(A23,'[1]TAB. REF. PA'!$A$4:$B$14,2,FALSE)</f>
        <v>Dirección de Gestión de Recursos Financieros de Salud</v>
      </c>
      <c r="C23" s="36" t="s">
        <v>160</v>
      </c>
      <c r="D23" s="35" t="s">
        <v>145</v>
      </c>
      <c r="E23" s="36" t="s">
        <v>161</v>
      </c>
      <c r="F23" s="35" t="s">
        <v>162</v>
      </c>
      <c r="G23" s="37" t="s">
        <v>123</v>
      </c>
      <c r="H23" s="46">
        <v>1</v>
      </c>
      <c r="I23" s="36" t="s">
        <v>304</v>
      </c>
      <c r="J23" s="38" t="s">
        <v>169</v>
      </c>
      <c r="K23" s="39">
        <v>720776535000</v>
      </c>
      <c r="L23" s="140">
        <v>1.6869365501534991E-2</v>
      </c>
      <c r="M23" s="41" t="s">
        <v>46</v>
      </c>
      <c r="N23" s="41" t="s">
        <v>68</v>
      </c>
      <c r="O23" s="41" t="s">
        <v>21</v>
      </c>
      <c r="P23" s="41" t="s">
        <v>36</v>
      </c>
      <c r="Q23" s="41" t="s">
        <v>213</v>
      </c>
      <c r="R23" s="42"/>
      <c r="S23" s="41" t="s">
        <v>182</v>
      </c>
      <c r="T23" s="41" t="s">
        <v>99</v>
      </c>
      <c r="U23" s="40">
        <v>1</v>
      </c>
      <c r="V23" s="35" t="str">
        <f>+$J$23</f>
        <v>Licencias de Maternidad y Paternidad</v>
      </c>
      <c r="W23" s="39">
        <v>720776535000</v>
      </c>
      <c r="X23" s="34" t="s">
        <v>116</v>
      </c>
      <c r="Y23" s="40">
        <v>0.25</v>
      </c>
      <c r="Z23" s="35" t="str">
        <f>+$J$23</f>
        <v>Licencias de Maternidad y Paternidad</v>
      </c>
      <c r="AA23" s="49">
        <v>180194133750</v>
      </c>
      <c r="AB23" s="42"/>
      <c r="AC23" s="42"/>
      <c r="AD23" s="40">
        <f t="shared" si="0"/>
        <v>0</v>
      </c>
      <c r="AE23" s="40">
        <f t="shared" si="1"/>
        <v>0</v>
      </c>
      <c r="AF23" s="40">
        <f t="shared" si="2"/>
        <v>0</v>
      </c>
      <c r="AG23" s="40">
        <f t="shared" si="3"/>
        <v>0</v>
      </c>
      <c r="AH23" s="40">
        <v>0.25</v>
      </c>
      <c r="AI23" s="35" t="str">
        <f>+$J$23</f>
        <v>Licencias de Maternidad y Paternidad</v>
      </c>
      <c r="AJ23" s="49">
        <v>180194133750</v>
      </c>
      <c r="AK23" s="42"/>
      <c r="AL23" s="42"/>
      <c r="AM23" s="40">
        <f t="shared" si="4"/>
        <v>0</v>
      </c>
      <c r="AN23" s="40">
        <f t="shared" si="5"/>
        <v>0</v>
      </c>
      <c r="AO23" s="40">
        <f t="shared" si="6"/>
        <v>0</v>
      </c>
      <c r="AP23" s="43">
        <f t="shared" si="7"/>
        <v>0</v>
      </c>
      <c r="AQ23" s="40">
        <v>0.25</v>
      </c>
      <c r="AR23" s="35" t="str">
        <f>+$J$23</f>
        <v>Licencias de Maternidad y Paternidad</v>
      </c>
      <c r="AS23" s="49">
        <v>180194133750</v>
      </c>
      <c r="AT23" s="42"/>
      <c r="AU23" s="42"/>
      <c r="AV23" s="40">
        <f t="shared" si="8"/>
        <v>0</v>
      </c>
      <c r="AW23" s="40">
        <f t="shared" si="9"/>
        <v>0</v>
      </c>
      <c r="AX23" s="40">
        <f t="shared" si="10"/>
        <v>0</v>
      </c>
      <c r="AY23" s="40">
        <f t="shared" si="11"/>
        <v>0</v>
      </c>
      <c r="AZ23" s="40">
        <v>0.25</v>
      </c>
      <c r="BA23" s="35" t="str">
        <f>+$J$23</f>
        <v>Licencias de Maternidad y Paternidad</v>
      </c>
      <c r="BB23" s="49">
        <v>180194133750</v>
      </c>
      <c r="BC23" s="42"/>
      <c r="BD23" s="42"/>
      <c r="BE23" s="40">
        <f t="shared" si="12"/>
        <v>0</v>
      </c>
      <c r="BF23" s="40">
        <f t="shared" si="13"/>
        <v>0</v>
      </c>
      <c r="BG23" s="40">
        <f t="shared" si="14"/>
        <v>0</v>
      </c>
      <c r="BH23" s="40">
        <f t="shared" si="15"/>
        <v>0</v>
      </c>
      <c r="BI23" s="44">
        <f t="shared" si="16"/>
        <v>0</v>
      </c>
      <c r="BJ23" s="44">
        <f t="shared" si="17"/>
        <v>0</v>
      </c>
      <c r="BK23" s="44">
        <f t="shared" si="18"/>
        <v>0</v>
      </c>
      <c r="BL23" s="44">
        <f t="shared" si="19"/>
        <v>0</v>
      </c>
      <c r="BM23" s="44">
        <f t="shared" si="20"/>
        <v>0</v>
      </c>
      <c r="BN23" s="44">
        <f t="shared" si="21"/>
        <v>0</v>
      </c>
      <c r="BO23" s="44">
        <f t="shared" si="22"/>
        <v>0</v>
      </c>
      <c r="BP23" s="44">
        <f t="shared" si="23"/>
        <v>0</v>
      </c>
      <c r="BQ23" s="42"/>
    </row>
    <row r="24" spans="1:69" s="45" customFormat="1" ht="105" x14ac:dyDescent="0.25">
      <c r="A24" s="34">
        <v>11300</v>
      </c>
      <c r="B24" s="35" t="str">
        <f>+VLOOKUP(A24,'[1]TAB. REF. PA'!$A$4:$B$14,2,FALSE)</f>
        <v>Dirección de Gestión de Recursos Financieros de Salud</v>
      </c>
      <c r="C24" s="36" t="s">
        <v>160</v>
      </c>
      <c r="D24" s="35" t="s">
        <v>145</v>
      </c>
      <c r="E24" s="36" t="s">
        <v>161</v>
      </c>
      <c r="F24" s="35" t="s">
        <v>162</v>
      </c>
      <c r="G24" s="37" t="s">
        <v>123</v>
      </c>
      <c r="H24" s="46">
        <v>1</v>
      </c>
      <c r="I24" s="36" t="s">
        <v>305</v>
      </c>
      <c r="J24" s="38" t="s">
        <v>561</v>
      </c>
      <c r="K24" s="39">
        <v>1500000000</v>
      </c>
      <c r="L24" s="140">
        <v>3.5106648210048191E-5</v>
      </c>
      <c r="M24" s="41" t="s">
        <v>46</v>
      </c>
      <c r="N24" s="41" t="s">
        <v>68</v>
      </c>
      <c r="O24" s="41" t="s">
        <v>21</v>
      </c>
      <c r="P24" s="41" t="s">
        <v>36</v>
      </c>
      <c r="Q24" s="41" t="s">
        <v>213</v>
      </c>
      <c r="R24" s="42"/>
      <c r="S24" s="41" t="s">
        <v>182</v>
      </c>
      <c r="T24" s="41" t="s">
        <v>99</v>
      </c>
      <c r="U24" s="40">
        <v>1</v>
      </c>
      <c r="V24" s="35" t="str">
        <f>+$J$24</f>
        <v>Prestaciones Económicas Regímenes Especiales de Excepción</v>
      </c>
      <c r="W24" s="39">
        <v>1500000000</v>
      </c>
      <c r="X24" s="34" t="s">
        <v>116</v>
      </c>
      <c r="Y24" s="40">
        <v>0.25</v>
      </c>
      <c r="Z24" s="35" t="str">
        <f>+$J$24</f>
        <v>Prestaciones Económicas Regímenes Especiales de Excepción</v>
      </c>
      <c r="AA24" s="49">
        <v>375000000</v>
      </c>
      <c r="AB24" s="42"/>
      <c r="AC24" s="42"/>
      <c r="AD24" s="40">
        <f>+(AB24/Y24)</f>
        <v>0</v>
      </c>
      <c r="AE24" s="40">
        <f>+(AC24/AA24)</f>
        <v>0</v>
      </c>
      <c r="AF24" s="40">
        <f>+(AB24/U24)</f>
        <v>0</v>
      </c>
      <c r="AG24" s="40">
        <f>+(AC24/W24)</f>
        <v>0</v>
      </c>
      <c r="AH24" s="40">
        <v>0.25</v>
      </c>
      <c r="AI24" s="35" t="str">
        <f>+$J$24</f>
        <v>Prestaciones Económicas Regímenes Especiales de Excepción</v>
      </c>
      <c r="AJ24" s="49">
        <v>375000000</v>
      </c>
      <c r="AK24" s="42"/>
      <c r="AL24" s="42"/>
      <c r="AM24" s="40">
        <f>+(AK24/AH24)</f>
        <v>0</v>
      </c>
      <c r="AN24" s="40">
        <f>+(AL24/AJ24)</f>
        <v>0</v>
      </c>
      <c r="AO24" s="40">
        <f>+(AK24+AB24)/U24</f>
        <v>0</v>
      </c>
      <c r="AP24" s="43">
        <f>+(AL24+AC24)/W24</f>
        <v>0</v>
      </c>
      <c r="AQ24" s="40">
        <v>0.25</v>
      </c>
      <c r="AR24" s="35" t="str">
        <f>+$J$24</f>
        <v>Prestaciones Económicas Regímenes Especiales de Excepción</v>
      </c>
      <c r="AS24" s="49">
        <v>375000000</v>
      </c>
      <c r="AT24" s="42"/>
      <c r="AU24" s="42"/>
      <c r="AV24" s="40">
        <f>+(AT24/AQ24)</f>
        <v>0</v>
      </c>
      <c r="AW24" s="40">
        <f>+(AU24/AS24)</f>
        <v>0</v>
      </c>
      <c r="AX24" s="40">
        <f>+(AK24+AB24+AT24)/U24</f>
        <v>0</v>
      </c>
      <c r="AY24" s="40">
        <f>+(AL24+AC24+AU24)/W24</f>
        <v>0</v>
      </c>
      <c r="AZ24" s="40">
        <v>0.25</v>
      </c>
      <c r="BA24" s="35" t="str">
        <f>+$J$24</f>
        <v>Prestaciones Económicas Regímenes Especiales de Excepción</v>
      </c>
      <c r="BB24" s="49">
        <v>375000000</v>
      </c>
      <c r="BC24" s="42"/>
      <c r="BD24" s="42"/>
      <c r="BE24" s="40">
        <f>+(BC24/AZ24)</f>
        <v>0</v>
      </c>
      <c r="BF24" s="40">
        <f>+(BD24/BB24)</f>
        <v>0</v>
      </c>
      <c r="BG24" s="40">
        <f>+(AK24+AB24+AT24+BC24)/U24</f>
        <v>0</v>
      </c>
      <c r="BH24" s="40">
        <f>+(AL24+AC24+AU24+BD24)/W24</f>
        <v>0</v>
      </c>
      <c r="BI24" s="44">
        <f>IF(AND(Y24=0,AB24=0),"No Prog ni Ejec",IF(Y24=0,CONCATENATE("No Prog, Ejec=  ",AB24),AB24/Y24))</f>
        <v>0</v>
      </c>
      <c r="BJ24" s="44">
        <f>IF(AND(AA24=0,AC24=0),"No Prog ni Ejec",IF(AA24=0,CONCATENATE("No Prog, Ejec=  ",AC24),AC24/AA24))</f>
        <v>0</v>
      </c>
      <c r="BK24" s="44">
        <f>IF(AND(AH24=0,AK24=0),"No Prog ni Ejec",IF(AH24=0,CONCATENATE("No Prog, Ejec=  ",AK24),AK24/AH24))</f>
        <v>0</v>
      </c>
      <c r="BL24" s="44">
        <f>IF(AND(AJ24=0,AL24=0),"No Prog ni Ejec",IF(AJ24=0,CONCATENATE("No Prog, Ejec=  ",AL24),AL24/AJ24))</f>
        <v>0</v>
      </c>
      <c r="BM24" s="44">
        <f>IF(AND(AQ24=0,AT24=0),"No Prog ni Ejec",IF(AQ24=0,CONCATENATE("No Prog, Ejec=  ",AT24),AT24/AQ24))</f>
        <v>0</v>
      </c>
      <c r="BN24" s="44">
        <f>IF(AND(AS24=0,AU24=0),"No Prog ni Ejec",IF(AS24=0,CONCATENATE("No Prog, Ejec=  ",AU24),AU24/AS24))</f>
        <v>0</v>
      </c>
      <c r="BO24" s="44">
        <f>IF(AND(AZ24=0,BC24=0),"No Prog ni Ejec",IF(AZ24=0,CONCATENATE("No Prog, Ejec=  ",BC24),BC24/AZ24))</f>
        <v>0</v>
      </c>
      <c r="BP24" s="44">
        <f>IF(AND(BB24=0,BD24=0),"No Prog ni Ejec",IF(BB24=0,CONCATENATE("No Prog, Ejec=  ",BD24),BD24/BB24))</f>
        <v>0</v>
      </c>
      <c r="BQ24" s="42"/>
    </row>
    <row r="25" spans="1:69" s="45" customFormat="1" ht="105" x14ac:dyDescent="0.25">
      <c r="A25" s="34">
        <v>11300</v>
      </c>
      <c r="B25" s="35" t="str">
        <f>+VLOOKUP(A25,'[1]TAB. REF. PA'!$A$4:$B$14,2,FALSE)</f>
        <v>Dirección de Gestión de Recursos Financieros de Salud</v>
      </c>
      <c r="C25" s="36" t="s">
        <v>160</v>
      </c>
      <c r="D25" s="35" t="s">
        <v>145</v>
      </c>
      <c r="E25" s="36" t="s">
        <v>161</v>
      </c>
      <c r="F25" s="35" t="s">
        <v>162</v>
      </c>
      <c r="G25" s="37" t="s">
        <v>123</v>
      </c>
      <c r="H25" s="46">
        <v>1</v>
      </c>
      <c r="I25" s="36" t="s">
        <v>306</v>
      </c>
      <c r="J25" s="38" t="s">
        <v>170</v>
      </c>
      <c r="K25" s="39">
        <v>18712351563000</v>
      </c>
      <c r="L25" s="140">
        <v>0.43795196233665762</v>
      </c>
      <c r="M25" s="41" t="s">
        <v>46</v>
      </c>
      <c r="N25" s="41" t="s">
        <v>68</v>
      </c>
      <c r="O25" s="41" t="s">
        <v>21</v>
      </c>
      <c r="P25" s="41" t="s">
        <v>36</v>
      </c>
      <c r="Q25" s="41" t="s">
        <v>213</v>
      </c>
      <c r="R25" s="42"/>
      <c r="S25" s="41" t="s">
        <v>182</v>
      </c>
      <c r="T25" s="41" t="s">
        <v>99</v>
      </c>
      <c r="U25" s="40">
        <v>1</v>
      </c>
      <c r="V25" s="35" t="str">
        <f>+$J$25</f>
        <v>Financiación UPC Régimen Subsidiado CSF</v>
      </c>
      <c r="W25" s="39">
        <v>18712351563000</v>
      </c>
      <c r="X25" s="34" t="s">
        <v>116</v>
      </c>
      <c r="Y25" s="40">
        <v>0.25</v>
      </c>
      <c r="Z25" s="35" t="str">
        <f>+$J$25</f>
        <v>Financiación UPC Régimen Subsidiado CSF</v>
      </c>
      <c r="AA25" s="49">
        <v>4678087890750</v>
      </c>
      <c r="AB25" s="42"/>
      <c r="AC25" s="42"/>
      <c r="AD25" s="40">
        <f t="shared" si="0"/>
        <v>0</v>
      </c>
      <c r="AE25" s="40">
        <f t="shared" si="1"/>
        <v>0</v>
      </c>
      <c r="AF25" s="40">
        <f t="shared" si="2"/>
        <v>0</v>
      </c>
      <c r="AG25" s="40">
        <f t="shared" si="3"/>
        <v>0</v>
      </c>
      <c r="AH25" s="40">
        <v>0.25</v>
      </c>
      <c r="AI25" s="35" t="str">
        <f>+$J$25</f>
        <v>Financiación UPC Régimen Subsidiado CSF</v>
      </c>
      <c r="AJ25" s="49">
        <v>4678087890750</v>
      </c>
      <c r="AK25" s="42"/>
      <c r="AL25" s="42"/>
      <c r="AM25" s="40">
        <f t="shared" si="4"/>
        <v>0</v>
      </c>
      <c r="AN25" s="40">
        <f t="shared" si="5"/>
        <v>0</v>
      </c>
      <c r="AO25" s="40">
        <f t="shared" si="6"/>
        <v>0</v>
      </c>
      <c r="AP25" s="43">
        <f t="shared" si="7"/>
        <v>0</v>
      </c>
      <c r="AQ25" s="40">
        <v>0.25</v>
      </c>
      <c r="AR25" s="35" t="str">
        <f>+$J$25</f>
        <v>Financiación UPC Régimen Subsidiado CSF</v>
      </c>
      <c r="AS25" s="49">
        <v>4678087890750</v>
      </c>
      <c r="AT25" s="42"/>
      <c r="AU25" s="42"/>
      <c r="AV25" s="40">
        <f t="shared" si="8"/>
        <v>0</v>
      </c>
      <c r="AW25" s="40">
        <f t="shared" si="9"/>
        <v>0</v>
      </c>
      <c r="AX25" s="40">
        <f t="shared" si="10"/>
        <v>0</v>
      </c>
      <c r="AY25" s="40">
        <f t="shared" si="11"/>
        <v>0</v>
      </c>
      <c r="AZ25" s="40">
        <v>0.25</v>
      </c>
      <c r="BA25" s="35" t="str">
        <f>+$J$25</f>
        <v>Financiación UPC Régimen Subsidiado CSF</v>
      </c>
      <c r="BB25" s="49">
        <v>4678087890750</v>
      </c>
      <c r="BC25" s="42"/>
      <c r="BD25" s="42"/>
      <c r="BE25" s="40">
        <f t="shared" si="12"/>
        <v>0</v>
      </c>
      <c r="BF25" s="40">
        <f t="shared" si="13"/>
        <v>0</v>
      </c>
      <c r="BG25" s="40">
        <f t="shared" si="14"/>
        <v>0</v>
      </c>
      <c r="BH25" s="40">
        <f t="shared" si="15"/>
        <v>0</v>
      </c>
      <c r="BI25" s="44">
        <f t="shared" si="16"/>
        <v>0</v>
      </c>
      <c r="BJ25" s="44">
        <f t="shared" si="17"/>
        <v>0</v>
      </c>
      <c r="BK25" s="44">
        <f t="shared" si="18"/>
        <v>0</v>
      </c>
      <c r="BL25" s="44">
        <f t="shared" si="19"/>
        <v>0</v>
      </c>
      <c r="BM25" s="44">
        <f t="shared" si="20"/>
        <v>0</v>
      </c>
      <c r="BN25" s="44">
        <f t="shared" si="21"/>
        <v>0</v>
      </c>
      <c r="BO25" s="44">
        <f t="shared" si="22"/>
        <v>0</v>
      </c>
      <c r="BP25" s="44">
        <f t="shared" si="23"/>
        <v>0</v>
      </c>
      <c r="BQ25" s="42"/>
    </row>
    <row r="26" spans="1:69" s="45" customFormat="1" ht="105" x14ac:dyDescent="0.25">
      <c r="A26" s="34">
        <v>11300</v>
      </c>
      <c r="B26" s="35" t="str">
        <f>+VLOOKUP(A26,'[1]TAB. REF. PA'!$A$4:$B$14,2,FALSE)</f>
        <v>Dirección de Gestión de Recursos Financieros de Salud</v>
      </c>
      <c r="C26" s="36" t="s">
        <v>160</v>
      </c>
      <c r="D26" s="35" t="s">
        <v>145</v>
      </c>
      <c r="E26" s="36" t="s">
        <v>161</v>
      </c>
      <c r="F26" s="35" t="s">
        <v>162</v>
      </c>
      <c r="G26" s="37" t="s">
        <v>123</v>
      </c>
      <c r="H26" s="46">
        <v>1</v>
      </c>
      <c r="I26" s="36" t="s">
        <v>307</v>
      </c>
      <c r="J26" s="38" t="s">
        <v>171</v>
      </c>
      <c r="K26" s="39">
        <v>26475329000</v>
      </c>
      <c r="L26" s="140">
        <v>6.1964004096552467E-4</v>
      </c>
      <c r="M26" s="41" t="s">
        <v>46</v>
      </c>
      <c r="N26" s="41" t="s">
        <v>68</v>
      </c>
      <c r="O26" s="41" t="s">
        <v>21</v>
      </c>
      <c r="P26" s="41" t="s">
        <v>36</v>
      </c>
      <c r="Q26" s="41" t="s">
        <v>213</v>
      </c>
      <c r="R26" s="42"/>
      <c r="S26" s="41" t="s">
        <v>182</v>
      </c>
      <c r="T26" s="41" t="s">
        <v>99</v>
      </c>
      <c r="U26" s="40">
        <v>1</v>
      </c>
      <c r="V26" s="35" t="str">
        <f>+$J$26</f>
        <v>Financiación UPC Régimen Subsidiado - CCF - SSF</v>
      </c>
      <c r="W26" s="39">
        <v>26475329000</v>
      </c>
      <c r="X26" s="34" t="s">
        <v>116</v>
      </c>
      <c r="Y26" s="40">
        <v>0.25</v>
      </c>
      <c r="Z26" s="35" t="str">
        <f>+$J$26</f>
        <v>Financiación UPC Régimen Subsidiado - CCF - SSF</v>
      </c>
      <c r="AA26" s="49">
        <v>6618832250</v>
      </c>
      <c r="AB26" s="42"/>
      <c r="AC26" s="42"/>
      <c r="AD26" s="40">
        <f t="shared" si="0"/>
        <v>0</v>
      </c>
      <c r="AE26" s="40">
        <f t="shared" si="1"/>
        <v>0</v>
      </c>
      <c r="AF26" s="40">
        <f t="shared" si="2"/>
        <v>0</v>
      </c>
      <c r="AG26" s="40">
        <f t="shared" si="3"/>
        <v>0</v>
      </c>
      <c r="AH26" s="40">
        <v>0.25</v>
      </c>
      <c r="AI26" s="35" t="str">
        <f>+$J$26</f>
        <v>Financiación UPC Régimen Subsidiado - CCF - SSF</v>
      </c>
      <c r="AJ26" s="49">
        <v>6618832250</v>
      </c>
      <c r="AK26" s="42"/>
      <c r="AL26" s="42"/>
      <c r="AM26" s="40">
        <f t="shared" si="4"/>
        <v>0</v>
      </c>
      <c r="AN26" s="40">
        <f t="shared" si="5"/>
        <v>0</v>
      </c>
      <c r="AO26" s="40">
        <f t="shared" si="6"/>
        <v>0</v>
      </c>
      <c r="AP26" s="43">
        <f t="shared" si="7"/>
        <v>0</v>
      </c>
      <c r="AQ26" s="40">
        <v>0.25</v>
      </c>
      <c r="AR26" s="35" t="str">
        <f>+$J$26</f>
        <v>Financiación UPC Régimen Subsidiado - CCF - SSF</v>
      </c>
      <c r="AS26" s="49">
        <v>6618832250</v>
      </c>
      <c r="AT26" s="42"/>
      <c r="AU26" s="42"/>
      <c r="AV26" s="40">
        <f t="shared" si="8"/>
        <v>0</v>
      </c>
      <c r="AW26" s="40">
        <f t="shared" si="9"/>
        <v>0</v>
      </c>
      <c r="AX26" s="40">
        <f t="shared" si="10"/>
        <v>0</v>
      </c>
      <c r="AY26" s="40">
        <f t="shared" si="11"/>
        <v>0</v>
      </c>
      <c r="AZ26" s="40">
        <v>0.25</v>
      </c>
      <c r="BA26" s="35" t="str">
        <f>+$J$26</f>
        <v>Financiación UPC Régimen Subsidiado - CCF - SSF</v>
      </c>
      <c r="BB26" s="49">
        <v>6618832250</v>
      </c>
      <c r="BC26" s="42"/>
      <c r="BD26" s="42"/>
      <c r="BE26" s="40">
        <f t="shared" si="12"/>
        <v>0</v>
      </c>
      <c r="BF26" s="40">
        <f t="shared" si="13"/>
        <v>0</v>
      </c>
      <c r="BG26" s="40">
        <f t="shared" si="14"/>
        <v>0</v>
      </c>
      <c r="BH26" s="40">
        <f t="shared" si="15"/>
        <v>0</v>
      </c>
      <c r="BI26" s="44">
        <f t="shared" si="16"/>
        <v>0</v>
      </c>
      <c r="BJ26" s="44">
        <f t="shared" si="17"/>
        <v>0</v>
      </c>
      <c r="BK26" s="44">
        <f t="shared" si="18"/>
        <v>0</v>
      </c>
      <c r="BL26" s="44">
        <f t="shared" si="19"/>
        <v>0</v>
      </c>
      <c r="BM26" s="44">
        <f t="shared" si="20"/>
        <v>0</v>
      </c>
      <c r="BN26" s="44">
        <f t="shared" si="21"/>
        <v>0</v>
      </c>
      <c r="BO26" s="44">
        <f t="shared" si="22"/>
        <v>0</v>
      </c>
      <c r="BP26" s="44">
        <f t="shared" si="23"/>
        <v>0</v>
      </c>
      <c r="BQ26" s="42"/>
    </row>
    <row r="27" spans="1:69" s="45" customFormat="1" ht="105" x14ac:dyDescent="0.25">
      <c r="A27" s="34">
        <v>11300</v>
      </c>
      <c r="B27" s="35" t="str">
        <f>+VLOOKUP(A27,'[1]TAB. REF. PA'!$A$4:$B$14,2,FALSE)</f>
        <v>Dirección de Gestión de Recursos Financieros de Salud</v>
      </c>
      <c r="C27" s="36" t="s">
        <v>160</v>
      </c>
      <c r="D27" s="35" t="s">
        <v>145</v>
      </c>
      <c r="E27" s="36" t="s">
        <v>161</v>
      </c>
      <c r="F27" s="35" t="s">
        <v>162</v>
      </c>
      <c r="G27" s="37" t="s">
        <v>123</v>
      </c>
      <c r="H27" s="46">
        <v>1</v>
      </c>
      <c r="I27" s="36" t="s">
        <v>308</v>
      </c>
      <c r="J27" s="38" t="s">
        <v>175</v>
      </c>
      <c r="K27" s="39">
        <v>210070791000</v>
      </c>
      <c r="L27" s="140">
        <v>4.9165875725623717E-3</v>
      </c>
      <c r="M27" s="41" t="s">
        <v>46</v>
      </c>
      <c r="N27" s="41" t="s">
        <v>68</v>
      </c>
      <c r="O27" s="41" t="s">
        <v>21</v>
      </c>
      <c r="P27" s="41" t="s">
        <v>36</v>
      </c>
      <c r="Q27" s="41" t="s">
        <v>213</v>
      </c>
      <c r="R27" s="42"/>
      <c r="S27" s="41" t="s">
        <v>182</v>
      </c>
      <c r="T27" s="41" t="s">
        <v>99</v>
      </c>
      <c r="U27" s="40">
        <v>1</v>
      </c>
      <c r="V27" s="35" t="str">
        <f>+$J$27</f>
        <v>Prestaciones Excepcionales - Recobros</v>
      </c>
      <c r="W27" s="39">
        <v>210070791000</v>
      </c>
      <c r="X27" s="34" t="s">
        <v>116</v>
      </c>
      <c r="Y27" s="40">
        <v>0.25</v>
      </c>
      <c r="Z27" s="35" t="str">
        <f>+$J$27</f>
        <v>Prestaciones Excepcionales - Recobros</v>
      </c>
      <c r="AA27" s="49">
        <v>52517697750</v>
      </c>
      <c r="AB27" s="42"/>
      <c r="AC27" s="42"/>
      <c r="AD27" s="40">
        <f t="shared" si="0"/>
        <v>0</v>
      </c>
      <c r="AE27" s="40">
        <f t="shared" si="1"/>
        <v>0</v>
      </c>
      <c r="AF27" s="40">
        <f t="shared" si="2"/>
        <v>0</v>
      </c>
      <c r="AG27" s="40">
        <f t="shared" si="3"/>
        <v>0</v>
      </c>
      <c r="AH27" s="40">
        <v>0.25</v>
      </c>
      <c r="AI27" s="35" t="str">
        <f>+$J$27</f>
        <v>Prestaciones Excepcionales - Recobros</v>
      </c>
      <c r="AJ27" s="49">
        <v>52517697750</v>
      </c>
      <c r="AK27" s="42"/>
      <c r="AL27" s="42"/>
      <c r="AM27" s="40">
        <f t="shared" si="4"/>
        <v>0</v>
      </c>
      <c r="AN27" s="40">
        <f t="shared" si="5"/>
        <v>0</v>
      </c>
      <c r="AO27" s="40">
        <f t="shared" si="6"/>
        <v>0</v>
      </c>
      <c r="AP27" s="43">
        <f t="shared" si="7"/>
        <v>0</v>
      </c>
      <c r="AQ27" s="40">
        <v>0.25</v>
      </c>
      <c r="AR27" s="35" t="str">
        <f>+$J$27</f>
        <v>Prestaciones Excepcionales - Recobros</v>
      </c>
      <c r="AS27" s="49">
        <v>52517697750</v>
      </c>
      <c r="AT27" s="42"/>
      <c r="AU27" s="42"/>
      <c r="AV27" s="40">
        <f t="shared" si="8"/>
        <v>0</v>
      </c>
      <c r="AW27" s="40">
        <f t="shared" si="9"/>
        <v>0</v>
      </c>
      <c r="AX27" s="40">
        <f t="shared" si="10"/>
        <v>0</v>
      </c>
      <c r="AY27" s="40">
        <f t="shared" si="11"/>
        <v>0</v>
      </c>
      <c r="AZ27" s="40">
        <v>0.25</v>
      </c>
      <c r="BA27" s="35" t="str">
        <f>+$J$27</f>
        <v>Prestaciones Excepcionales - Recobros</v>
      </c>
      <c r="BB27" s="49">
        <v>52517697750</v>
      </c>
      <c r="BC27" s="42"/>
      <c r="BD27" s="42"/>
      <c r="BE27" s="40">
        <f t="shared" si="12"/>
        <v>0</v>
      </c>
      <c r="BF27" s="40">
        <f t="shared" si="13"/>
        <v>0</v>
      </c>
      <c r="BG27" s="40">
        <f t="shared" si="14"/>
        <v>0</v>
      </c>
      <c r="BH27" s="40">
        <f t="shared" si="15"/>
        <v>0</v>
      </c>
      <c r="BI27" s="44">
        <f t="shared" si="16"/>
        <v>0</v>
      </c>
      <c r="BJ27" s="44">
        <f t="shared" si="17"/>
        <v>0</v>
      </c>
      <c r="BK27" s="44">
        <f t="shared" si="18"/>
        <v>0</v>
      </c>
      <c r="BL27" s="44">
        <f t="shared" si="19"/>
        <v>0</v>
      </c>
      <c r="BM27" s="44">
        <f t="shared" si="20"/>
        <v>0</v>
      </c>
      <c r="BN27" s="44">
        <f t="shared" si="21"/>
        <v>0</v>
      </c>
      <c r="BO27" s="44">
        <f t="shared" si="22"/>
        <v>0</v>
      </c>
      <c r="BP27" s="44">
        <f t="shared" si="23"/>
        <v>0</v>
      </c>
      <c r="BQ27" s="42"/>
    </row>
    <row r="28" spans="1:69" s="45" customFormat="1" ht="105" x14ac:dyDescent="0.25">
      <c r="A28" s="34">
        <v>11300</v>
      </c>
      <c r="B28" s="35" t="str">
        <f>+VLOOKUP(A28,'[1]TAB. REF. PA'!$A$4:$B$14,2,FALSE)</f>
        <v>Dirección de Gestión de Recursos Financieros de Salud</v>
      </c>
      <c r="C28" s="36" t="s">
        <v>160</v>
      </c>
      <c r="D28" s="35" t="s">
        <v>145</v>
      </c>
      <c r="E28" s="36" t="s">
        <v>161</v>
      </c>
      <c r="F28" s="35" t="s">
        <v>162</v>
      </c>
      <c r="G28" s="37" t="s">
        <v>123</v>
      </c>
      <c r="H28" s="46">
        <v>1</v>
      </c>
      <c r="I28" s="36" t="s">
        <v>309</v>
      </c>
      <c r="J28" s="38" t="s">
        <v>172</v>
      </c>
      <c r="K28" s="39">
        <v>165927919000</v>
      </c>
      <c r="L28" s="140">
        <v>3.8834487203722474E-3</v>
      </c>
      <c r="M28" s="41" t="s">
        <v>46</v>
      </c>
      <c r="N28" s="41" t="s">
        <v>68</v>
      </c>
      <c r="O28" s="41" t="s">
        <v>21</v>
      </c>
      <c r="P28" s="41" t="s">
        <v>36</v>
      </c>
      <c r="Q28" s="41" t="s">
        <v>213</v>
      </c>
      <c r="R28" s="42"/>
      <c r="S28" s="41" t="s">
        <v>182</v>
      </c>
      <c r="T28" s="41" t="s">
        <v>99</v>
      </c>
      <c r="U28" s="40">
        <v>1</v>
      </c>
      <c r="V28" s="35" t="str">
        <f>+$J$28</f>
        <v>Atención en salud, transporte primario, indemnizaciones y auxilios funerarios víctimas</v>
      </c>
      <c r="W28" s="39">
        <v>165927919000</v>
      </c>
      <c r="X28" s="34" t="s">
        <v>116</v>
      </c>
      <c r="Y28" s="40">
        <v>0.25</v>
      </c>
      <c r="Z28" s="35" t="str">
        <f>+$J$28</f>
        <v>Atención en salud, transporte primario, indemnizaciones y auxilios funerarios víctimas</v>
      </c>
      <c r="AA28" s="49">
        <v>41481979750</v>
      </c>
      <c r="AB28" s="42"/>
      <c r="AC28" s="42"/>
      <c r="AD28" s="40">
        <f t="shared" si="0"/>
        <v>0</v>
      </c>
      <c r="AE28" s="40">
        <f t="shared" si="1"/>
        <v>0</v>
      </c>
      <c r="AF28" s="40">
        <f t="shared" si="2"/>
        <v>0</v>
      </c>
      <c r="AG28" s="40">
        <f t="shared" si="3"/>
        <v>0</v>
      </c>
      <c r="AH28" s="40">
        <v>0.25</v>
      </c>
      <c r="AI28" s="35" t="str">
        <f>+$J$28</f>
        <v>Atención en salud, transporte primario, indemnizaciones y auxilios funerarios víctimas</v>
      </c>
      <c r="AJ28" s="49">
        <v>41481979750</v>
      </c>
      <c r="AK28" s="42"/>
      <c r="AL28" s="42"/>
      <c r="AM28" s="40">
        <f t="shared" si="4"/>
        <v>0</v>
      </c>
      <c r="AN28" s="40">
        <f t="shared" si="5"/>
        <v>0</v>
      </c>
      <c r="AO28" s="40">
        <f t="shared" si="6"/>
        <v>0</v>
      </c>
      <c r="AP28" s="43">
        <f t="shared" si="7"/>
        <v>0</v>
      </c>
      <c r="AQ28" s="40">
        <v>0.25</v>
      </c>
      <c r="AR28" s="35" t="str">
        <f>+$J$28</f>
        <v>Atención en salud, transporte primario, indemnizaciones y auxilios funerarios víctimas</v>
      </c>
      <c r="AS28" s="49">
        <v>41481979750</v>
      </c>
      <c r="AT28" s="42"/>
      <c r="AU28" s="42"/>
      <c r="AV28" s="40">
        <f t="shared" si="8"/>
        <v>0</v>
      </c>
      <c r="AW28" s="40">
        <f t="shared" si="9"/>
        <v>0</v>
      </c>
      <c r="AX28" s="40">
        <f t="shared" si="10"/>
        <v>0</v>
      </c>
      <c r="AY28" s="40">
        <f t="shared" si="11"/>
        <v>0</v>
      </c>
      <c r="AZ28" s="40">
        <v>0.25</v>
      </c>
      <c r="BA28" s="35" t="str">
        <f>+$J$28</f>
        <v>Atención en salud, transporte primario, indemnizaciones y auxilios funerarios víctimas</v>
      </c>
      <c r="BB28" s="49">
        <v>41481979750</v>
      </c>
      <c r="BC28" s="42"/>
      <c r="BD28" s="42"/>
      <c r="BE28" s="40">
        <f t="shared" si="12"/>
        <v>0</v>
      </c>
      <c r="BF28" s="40">
        <f t="shared" si="13"/>
        <v>0</v>
      </c>
      <c r="BG28" s="40">
        <f t="shared" si="14"/>
        <v>0</v>
      </c>
      <c r="BH28" s="40">
        <f t="shared" si="15"/>
        <v>0</v>
      </c>
      <c r="BI28" s="44">
        <f t="shared" si="16"/>
        <v>0</v>
      </c>
      <c r="BJ28" s="44">
        <f t="shared" si="17"/>
        <v>0</v>
      </c>
      <c r="BK28" s="44">
        <f t="shared" si="18"/>
        <v>0</v>
      </c>
      <c r="BL28" s="44">
        <f t="shared" si="19"/>
        <v>0</v>
      </c>
      <c r="BM28" s="44">
        <f t="shared" si="20"/>
        <v>0</v>
      </c>
      <c r="BN28" s="44">
        <f t="shared" si="21"/>
        <v>0</v>
      </c>
      <c r="BO28" s="44">
        <f t="shared" si="22"/>
        <v>0</v>
      </c>
      <c r="BP28" s="44">
        <f t="shared" si="23"/>
        <v>0</v>
      </c>
      <c r="BQ28" s="42"/>
    </row>
    <row r="29" spans="1:69" s="45" customFormat="1" ht="105" x14ac:dyDescent="0.25">
      <c r="A29" s="34">
        <v>11300</v>
      </c>
      <c r="B29" s="35" t="str">
        <f>+VLOOKUP(A29,'[1]TAB. REF. PA'!$A$4:$B$14,2,FALSE)</f>
        <v>Dirección de Gestión de Recursos Financieros de Salud</v>
      </c>
      <c r="C29" s="36" t="s">
        <v>160</v>
      </c>
      <c r="D29" s="35" t="s">
        <v>145</v>
      </c>
      <c r="E29" s="36" t="s">
        <v>161</v>
      </c>
      <c r="F29" s="35" t="s">
        <v>162</v>
      </c>
      <c r="G29" s="37" t="s">
        <v>123</v>
      </c>
      <c r="H29" s="46">
        <v>1</v>
      </c>
      <c r="I29" s="36" t="s">
        <v>310</v>
      </c>
      <c r="J29" s="38" t="s">
        <v>176</v>
      </c>
      <c r="K29" s="39">
        <v>3872113000</v>
      </c>
      <c r="L29" s="140">
        <v>9.0624605947036218E-5</v>
      </c>
      <c r="M29" s="41" t="s">
        <v>46</v>
      </c>
      <c r="N29" s="41" t="s">
        <v>68</v>
      </c>
      <c r="O29" s="41" t="s">
        <v>21</v>
      </c>
      <c r="P29" s="41" t="s">
        <v>36</v>
      </c>
      <c r="Q29" s="41" t="s">
        <v>213</v>
      </c>
      <c r="R29" s="42"/>
      <c r="S29" s="41" t="s">
        <v>182</v>
      </c>
      <c r="T29" s="41" t="s">
        <v>99</v>
      </c>
      <c r="U29" s="40">
        <v>1</v>
      </c>
      <c r="V29" s="35" t="str">
        <f>+$J$29</f>
        <v>Fortalecimiento red de urgencias nacional, emergencias sanitarias y eventos catastróficos</v>
      </c>
      <c r="W29" s="39">
        <v>3872113000</v>
      </c>
      <c r="X29" s="34" t="s">
        <v>116</v>
      </c>
      <c r="Y29" s="40">
        <v>0.25</v>
      </c>
      <c r="Z29" s="35" t="str">
        <f>+$J$29</f>
        <v>Fortalecimiento red de urgencias nacional, emergencias sanitarias y eventos catastróficos</v>
      </c>
      <c r="AA29" s="49">
        <v>968028250</v>
      </c>
      <c r="AB29" s="42"/>
      <c r="AC29" s="42"/>
      <c r="AD29" s="40">
        <f t="shared" si="0"/>
        <v>0</v>
      </c>
      <c r="AE29" s="40">
        <f t="shared" si="1"/>
        <v>0</v>
      </c>
      <c r="AF29" s="40">
        <f t="shared" si="2"/>
        <v>0</v>
      </c>
      <c r="AG29" s="40">
        <f t="shared" si="3"/>
        <v>0</v>
      </c>
      <c r="AH29" s="40">
        <v>0.25</v>
      </c>
      <c r="AI29" s="35" t="str">
        <f>+$J$29</f>
        <v>Fortalecimiento red de urgencias nacional, emergencias sanitarias y eventos catastróficos</v>
      </c>
      <c r="AJ29" s="49">
        <v>968028250</v>
      </c>
      <c r="AK29" s="42"/>
      <c r="AL29" s="42"/>
      <c r="AM29" s="40">
        <f t="shared" si="4"/>
        <v>0</v>
      </c>
      <c r="AN29" s="40">
        <f t="shared" si="5"/>
        <v>0</v>
      </c>
      <c r="AO29" s="40">
        <f t="shared" si="6"/>
        <v>0</v>
      </c>
      <c r="AP29" s="43">
        <f t="shared" si="7"/>
        <v>0</v>
      </c>
      <c r="AQ29" s="40">
        <v>0.25</v>
      </c>
      <c r="AR29" s="35" t="str">
        <f>+$J$29</f>
        <v>Fortalecimiento red de urgencias nacional, emergencias sanitarias y eventos catastróficos</v>
      </c>
      <c r="AS29" s="49">
        <v>968028250</v>
      </c>
      <c r="AT29" s="42"/>
      <c r="AU29" s="42"/>
      <c r="AV29" s="40">
        <f t="shared" si="8"/>
        <v>0</v>
      </c>
      <c r="AW29" s="40">
        <f t="shared" si="9"/>
        <v>0</v>
      </c>
      <c r="AX29" s="40">
        <f t="shared" si="10"/>
        <v>0</v>
      </c>
      <c r="AY29" s="40">
        <f t="shared" si="11"/>
        <v>0</v>
      </c>
      <c r="AZ29" s="40">
        <v>0.25</v>
      </c>
      <c r="BA29" s="35" t="str">
        <f>+$J$29</f>
        <v>Fortalecimiento red de urgencias nacional, emergencias sanitarias y eventos catastróficos</v>
      </c>
      <c r="BB29" s="49">
        <v>968028250</v>
      </c>
      <c r="BC29" s="42"/>
      <c r="BD29" s="42"/>
      <c r="BE29" s="40">
        <f t="shared" si="12"/>
        <v>0</v>
      </c>
      <c r="BF29" s="40">
        <f t="shared" si="13"/>
        <v>0</v>
      </c>
      <c r="BG29" s="40">
        <f t="shared" si="14"/>
        <v>0</v>
      </c>
      <c r="BH29" s="40">
        <f t="shared" si="15"/>
        <v>0</v>
      </c>
      <c r="BI29" s="44">
        <f t="shared" si="16"/>
        <v>0</v>
      </c>
      <c r="BJ29" s="44">
        <f t="shared" si="17"/>
        <v>0</v>
      </c>
      <c r="BK29" s="44">
        <f t="shared" si="18"/>
        <v>0</v>
      </c>
      <c r="BL29" s="44">
        <f t="shared" si="19"/>
        <v>0</v>
      </c>
      <c r="BM29" s="44">
        <f t="shared" si="20"/>
        <v>0</v>
      </c>
      <c r="BN29" s="44">
        <f t="shared" si="21"/>
        <v>0</v>
      </c>
      <c r="BO29" s="44">
        <f t="shared" si="22"/>
        <v>0</v>
      </c>
      <c r="BP29" s="44">
        <f t="shared" si="23"/>
        <v>0</v>
      </c>
      <c r="BQ29" s="42"/>
    </row>
    <row r="30" spans="1:69" s="45" customFormat="1" ht="105" x14ac:dyDescent="0.25">
      <c r="A30" s="34">
        <v>11300</v>
      </c>
      <c r="B30" s="35" t="str">
        <f>+VLOOKUP(A30,'[1]TAB. REF. PA'!$A$4:$B$14,2,FALSE)</f>
        <v>Dirección de Gestión de Recursos Financieros de Salud</v>
      </c>
      <c r="C30" s="36" t="s">
        <v>160</v>
      </c>
      <c r="D30" s="35" t="s">
        <v>145</v>
      </c>
      <c r="E30" s="36" t="s">
        <v>161</v>
      </c>
      <c r="F30" s="35" t="s">
        <v>162</v>
      </c>
      <c r="G30" s="37" t="s">
        <v>123</v>
      </c>
      <c r="H30" s="46">
        <v>1</v>
      </c>
      <c r="I30" s="36" t="s">
        <v>311</v>
      </c>
      <c r="J30" s="38" t="s">
        <v>177</v>
      </c>
      <c r="K30" s="39">
        <v>20994082000</v>
      </c>
      <c r="L30" s="140">
        <v>4.9135456751127002E-4</v>
      </c>
      <c r="M30" s="41" t="s">
        <v>46</v>
      </c>
      <c r="N30" s="41" t="s">
        <v>68</v>
      </c>
      <c r="O30" s="41" t="s">
        <v>21</v>
      </c>
      <c r="P30" s="41" t="s">
        <v>36</v>
      </c>
      <c r="Q30" s="41" t="s">
        <v>213</v>
      </c>
      <c r="R30" s="42"/>
      <c r="S30" s="41" t="s">
        <v>182</v>
      </c>
      <c r="T30" s="41" t="s">
        <v>99</v>
      </c>
      <c r="U30" s="40">
        <v>1</v>
      </c>
      <c r="V30" s="35" t="str">
        <f>+$J$30</f>
        <v>Otros programas de salud promoción y prevención</v>
      </c>
      <c r="W30" s="39">
        <v>20994082000</v>
      </c>
      <c r="X30" s="34" t="s">
        <v>116</v>
      </c>
      <c r="Y30" s="40">
        <v>0.25</v>
      </c>
      <c r="Z30" s="35" t="str">
        <f>+$J$30</f>
        <v>Otros programas de salud promoción y prevención</v>
      </c>
      <c r="AA30" s="49">
        <v>5248520500</v>
      </c>
      <c r="AB30" s="42"/>
      <c r="AC30" s="42"/>
      <c r="AD30" s="40">
        <f t="shared" si="0"/>
        <v>0</v>
      </c>
      <c r="AE30" s="40">
        <f t="shared" si="1"/>
        <v>0</v>
      </c>
      <c r="AF30" s="40">
        <f t="shared" si="2"/>
        <v>0</v>
      </c>
      <c r="AG30" s="40">
        <f t="shared" si="3"/>
        <v>0</v>
      </c>
      <c r="AH30" s="40">
        <v>0.25</v>
      </c>
      <c r="AI30" s="35" t="str">
        <f>+$J$30</f>
        <v>Otros programas de salud promoción y prevención</v>
      </c>
      <c r="AJ30" s="49">
        <v>5248520500</v>
      </c>
      <c r="AK30" s="42"/>
      <c r="AL30" s="42"/>
      <c r="AM30" s="40">
        <f t="shared" si="4"/>
        <v>0</v>
      </c>
      <c r="AN30" s="40">
        <f t="shared" si="5"/>
        <v>0</v>
      </c>
      <c r="AO30" s="40">
        <f t="shared" si="6"/>
        <v>0</v>
      </c>
      <c r="AP30" s="43">
        <f t="shared" si="7"/>
        <v>0</v>
      </c>
      <c r="AQ30" s="40">
        <v>0.25</v>
      </c>
      <c r="AR30" s="35" t="str">
        <f>+$J$30</f>
        <v>Otros programas de salud promoción y prevención</v>
      </c>
      <c r="AS30" s="49">
        <v>5248520500</v>
      </c>
      <c r="AT30" s="42"/>
      <c r="AU30" s="42"/>
      <c r="AV30" s="40">
        <f t="shared" si="8"/>
        <v>0</v>
      </c>
      <c r="AW30" s="40">
        <f t="shared" si="9"/>
        <v>0</v>
      </c>
      <c r="AX30" s="40">
        <f t="shared" si="10"/>
        <v>0</v>
      </c>
      <c r="AY30" s="40">
        <f t="shared" si="11"/>
        <v>0</v>
      </c>
      <c r="AZ30" s="40">
        <v>0.25</v>
      </c>
      <c r="BA30" s="35" t="str">
        <f>+$J$30</f>
        <v>Otros programas de salud promoción y prevención</v>
      </c>
      <c r="BB30" s="49">
        <v>5248520500</v>
      </c>
      <c r="BC30" s="42"/>
      <c r="BD30" s="42"/>
      <c r="BE30" s="40">
        <f t="shared" si="12"/>
        <v>0</v>
      </c>
      <c r="BF30" s="40">
        <f t="shared" si="13"/>
        <v>0</v>
      </c>
      <c r="BG30" s="40">
        <f t="shared" si="14"/>
        <v>0</v>
      </c>
      <c r="BH30" s="40">
        <f t="shared" si="15"/>
        <v>0</v>
      </c>
      <c r="BI30" s="44">
        <f t="shared" si="16"/>
        <v>0</v>
      </c>
      <c r="BJ30" s="44">
        <f t="shared" si="17"/>
        <v>0</v>
      </c>
      <c r="BK30" s="44">
        <f t="shared" si="18"/>
        <v>0</v>
      </c>
      <c r="BL30" s="44">
        <f t="shared" si="19"/>
        <v>0</v>
      </c>
      <c r="BM30" s="44">
        <f t="shared" si="20"/>
        <v>0</v>
      </c>
      <c r="BN30" s="44">
        <f t="shared" si="21"/>
        <v>0</v>
      </c>
      <c r="BO30" s="44">
        <f t="shared" si="22"/>
        <v>0</v>
      </c>
      <c r="BP30" s="44">
        <f t="shared" si="23"/>
        <v>0</v>
      </c>
      <c r="BQ30" s="42"/>
    </row>
    <row r="31" spans="1:69" s="45" customFormat="1" ht="105" x14ac:dyDescent="0.25">
      <c r="A31" s="34">
        <v>11300</v>
      </c>
      <c r="B31" s="35" t="str">
        <f>+VLOOKUP(A31,'[1]TAB. REF. PA'!$A$4:$B$14,2,FALSE)</f>
        <v>Dirección de Gestión de Recursos Financieros de Salud</v>
      </c>
      <c r="C31" s="36" t="s">
        <v>160</v>
      </c>
      <c r="D31" s="35" t="s">
        <v>145</v>
      </c>
      <c r="E31" s="36" t="s">
        <v>161</v>
      </c>
      <c r="F31" s="35" t="s">
        <v>162</v>
      </c>
      <c r="G31" s="37" t="s">
        <v>123</v>
      </c>
      <c r="H31" s="46">
        <v>1</v>
      </c>
      <c r="I31" s="36" t="s">
        <v>312</v>
      </c>
      <c r="J31" s="38" t="s">
        <v>178</v>
      </c>
      <c r="K31" s="39">
        <v>161564182000</v>
      </c>
      <c r="L31" s="140">
        <v>3.7813179338788E-3</v>
      </c>
      <c r="M31" s="41" t="s">
        <v>46</v>
      </c>
      <c r="N31" s="41" t="s">
        <v>68</v>
      </c>
      <c r="O31" s="41" t="s">
        <v>21</v>
      </c>
      <c r="P31" s="41" t="s">
        <v>36</v>
      </c>
      <c r="Q31" s="41" t="s">
        <v>213</v>
      </c>
      <c r="R31" s="42"/>
      <c r="S31" s="41" t="s">
        <v>182</v>
      </c>
      <c r="T31" s="41" t="s">
        <v>99</v>
      </c>
      <c r="U31" s="40">
        <v>1</v>
      </c>
      <c r="V31" s="35" t="str">
        <f>+$J$31</f>
        <v>Recursos con destinación especifica</v>
      </c>
      <c r="W31" s="39">
        <v>161564182000</v>
      </c>
      <c r="X31" s="34" t="s">
        <v>116</v>
      </c>
      <c r="Y31" s="40">
        <v>0.25</v>
      </c>
      <c r="Z31" s="35" t="str">
        <f>+$J$31</f>
        <v>Recursos con destinación especifica</v>
      </c>
      <c r="AA31" s="49">
        <v>40391045500</v>
      </c>
      <c r="AB31" s="42"/>
      <c r="AC31" s="42"/>
      <c r="AD31" s="40">
        <f t="shared" si="0"/>
        <v>0</v>
      </c>
      <c r="AE31" s="40">
        <f t="shared" si="1"/>
        <v>0</v>
      </c>
      <c r="AF31" s="40">
        <f t="shared" si="2"/>
        <v>0</v>
      </c>
      <c r="AG31" s="40">
        <f t="shared" si="3"/>
        <v>0</v>
      </c>
      <c r="AH31" s="40">
        <v>0.25</v>
      </c>
      <c r="AI31" s="35" t="str">
        <f>+$J$31</f>
        <v>Recursos con destinación especifica</v>
      </c>
      <c r="AJ31" s="49">
        <v>40391045500</v>
      </c>
      <c r="AK31" s="42"/>
      <c r="AL31" s="42"/>
      <c r="AM31" s="40">
        <f t="shared" si="4"/>
        <v>0</v>
      </c>
      <c r="AN31" s="40">
        <f t="shared" si="5"/>
        <v>0</v>
      </c>
      <c r="AO31" s="40">
        <f t="shared" si="6"/>
        <v>0</v>
      </c>
      <c r="AP31" s="43">
        <f t="shared" si="7"/>
        <v>0</v>
      </c>
      <c r="AQ31" s="40">
        <v>0.25</v>
      </c>
      <c r="AR31" s="35" t="str">
        <f>+$J$31</f>
        <v>Recursos con destinación especifica</v>
      </c>
      <c r="AS31" s="49">
        <v>40391045500</v>
      </c>
      <c r="AT31" s="42"/>
      <c r="AU31" s="42"/>
      <c r="AV31" s="40">
        <f t="shared" si="8"/>
        <v>0</v>
      </c>
      <c r="AW31" s="40">
        <f t="shared" si="9"/>
        <v>0</v>
      </c>
      <c r="AX31" s="40">
        <f t="shared" si="10"/>
        <v>0</v>
      </c>
      <c r="AY31" s="40">
        <f t="shared" si="11"/>
        <v>0</v>
      </c>
      <c r="AZ31" s="40">
        <v>0.25</v>
      </c>
      <c r="BA31" s="35" t="str">
        <f>+$J$31</f>
        <v>Recursos con destinación especifica</v>
      </c>
      <c r="BB31" s="49">
        <v>40391045500</v>
      </c>
      <c r="BC31" s="42"/>
      <c r="BD31" s="42"/>
      <c r="BE31" s="40">
        <f t="shared" si="12"/>
        <v>0</v>
      </c>
      <c r="BF31" s="40">
        <f t="shared" si="13"/>
        <v>0</v>
      </c>
      <c r="BG31" s="40">
        <f t="shared" si="14"/>
        <v>0</v>
      </c>
      <c r="BH31" s="40">
        <f t="shared" si="15"/>
        <v>0</v>
      </c>
      <c r="BI31" s="44">
        <f t="shared" si="16"/>
        <v>0</v>
      </c>
      <c r="BJ31" s="44">
        <f t="shared" si="17"/>
        <v>0</v>
      </c>
      <c r="BK31" s="44">
        <f t="shared" si="18"/>
        <v>0</v>
      </c>
      <c r="BL31" s="44">
        <f t="shared" si="19"/>
        <v>0</v>
      </c>
      <c r="BM31" s="44">
        <f t="shared" si="20"/>
        <v>0</v>
      </c>
      <c r="BN31" s="44">
        <f t="shared" si="21"/>
        <v>0</v>
      </c>
      <c r="BO31" s="44">
        <f t="shared" si="22"/>
        <v>0</v>
      </c>
      <c r="BP31" s="44">
        <f t="shared" si="23"/>
        <v>0</v>
      </c>
      <c r="BQ31" s="42"/>
    </row>
    <row r="32" spans="1:69" s="45" customFormat="1" ht="105" x14ac:dyDescent="0.25">
      <c r="A32" s="34">
        <v>11300</v>
      </c>
      <c r="B32" s="35" t="str">
        <f>+VLOOKUP(A32,'[1]TAB. REF. PA'!$A$4:$B$14,2,FALSE)</f>
        <v>Dirección de Gestión de Recursos Financieros de Salud</v>
      </c>
      <c r="C32" s="36" t="s">
        <v>160</v>
      </c>
      <c r="D32" s="35" t="s">
        <v>145</v>
      </c>
      <c r="E32" s="36" t="s">
        <v>161</v>
      </c>
      <c r="F32" s="35" t="s">
        <v>162</v>
      </c>
      <c r="G32" s="37" t="s">
        <v>123</v>
      </c>
      <c r="H32" s="46">
        <v>1</v>
      </c>
      <c r="I32" s="36" t="s">
        <v>313</v>
      </c>
      <c r="J32" s="38" t="s">
        <v>179</v>
      </c>
      <c r="K32" s="39">
        <v>51737471000</v>
      </c>
      <c r="L32" s="140">
        <v>1.2108861291163801E-3</v>
      </c>
      <c r="M32" s="41" t="s">
        <v>46</v>
      </c>
      <c r="N32" s="41" t="s">
        <v>68</v>
      </c>
      <c r="O32" s="41" t="s">
        <v>21</v>
      </c>
      <c r="P32" s="41" t="s">
        <v>36</v>
      </c>
      <c r="Q32" s="41" t="s">
        <v>213</v>
      </c>
      <c r="R32" s="42"/>
      <c r="S32" s="41" t="s">
        <v>182</v>
      </c>
      <c r="T32" s="41" t="s">
        <v>99</v>
      </c>
      <c r="U32" s="40">
        <v>1</v>
      </c>
      <c r="V32" s="35" t="str">
        <f>+$J$32</f>
        <v>FONSAET</v>
      </c>
      <c r="W32" s="39">
        <v>51737471000</v>
      </c>
      <c r="X32" s="34" t="s">
        <v>116</v>
      </c>
      <c r="Y32" s="40">
        <v>0.25</v>
      </c>
      <c r="Z32" s="35" t="str">
        <f>+$J$32</f>
        <v>FONSAET</v>
      </c>
      <c r="AA32" s="49">
        <v>12934367750</v>
      </c>
      <c r="AB32" s="42"/>
      <c r="AC32" s="42"/>
      <c r="AD32" s="40">
        <f t="shared" si="0"/>
        <v>0</v>
      </c>
      <c r="AE32" s="40">
        <f t="shared" si="1"/>
        <v>0</v>
      </c>
      <c r="AF32" s="40">
        <f t="shared" si="2"/>
        <v>0</v>
      </c>
      <c r="AG32" s="40">
        <f t="shared" si="3"/>
        <v>0</v>
      </c>
      <c r="AH32" s="40">
        <v>0.25</v>
      </c>
      <c r="AI32" s="35" t="str">
        <f>+$J$32</f>
        <v>FONSAET</v>
      </c>
      <c r="AJ32" s="49">
        <v>12934367750</v>
      </c>
      <c r="AK32" s="42"/>
      <c r="AL32" s="42"/>
      <c r="AM32" s="40">
        <f t="shared" si="4"/>
        <v>0</v>
      </c>
      <c r="AN32" s="40">
        <f t="shared" si="5"/>
        <v>0</v>
      </c>
      <c r="AO32" s="40">
        <f t="shared" si="6"/>
        <v>0</v>
      </c>
      <c r="AP32" s="43">
        <f t="shared" si="7"/>
        <v>0</v>
      </c>
      <c r="AQ32" s="40">
        <v>0.25</v>
      </c>
      <c r="AR32" s="35" t="str">
        <f>+$J$32</f>
        <v>FONSAET</v>
      </c>
      <c r="AS32" s="49">
        <v>12934367750</v>
      </c>
      <c r="AT32" s="42"/>
      <c r="AU32" s="42"/>
      <c r="AV32" s="40">
        <f t="shared" si="8"/>
        <v>0</v>
      </c>
      <c r="AW32" s="40">
        <f t="shared" si="9"/>
        <v>0</v>
      </c>
      <c r="AX32" s="40">
        <f t="shared" si="10"/>
        <v>0</v>
      </c>
      <c r="AY32" s="40">
        <f t="shared" si="11"/>
        <v>0</v>
      </c>
      <c r="AZ32" s="40">
        <v>0.25</v>
      </c>
      <c r="BA32" s="35" t="str">
        <f>+$J$32</f>
        <v>FONSAET</v>
      </c>
      <c r="BB32" s="49">
        <v>12934367750</v>
      </c>
      <c r="BC32" s="42"/>
      <c r="BD32" s="42"/>
      <c r="BE32" s="40">
        <f t="shared" si="12"/>
        <v>0</v>
      </c>
      <c r="BF32" s="40">
        <f t="shared" si="13"/>
        <v>0</v>
      </c>
      <c r="BG32" s="40">
        <f t="shared" si="14"/>
        <v>0</v>
      </c>
      <c r="BH32" s="40">
        <f t="shared" si="15"/>
        <v>0</v>
      </c>
      <c r="BI32" s="44">
        <f t="shared" si="16"/>
        <v>0</v>
      </c>
      <c r="BJ32" s="44">
        <f t="shared" si="17"/>
        <v>0</v>
      </c>
      <c r="BK32" s="44">
        <f t="shared" si="18"/>
        <v>0</v>
      </c>
      <c r="BL32" s="44">
        <f t="shared" si="19"/>
        <v>0</v>
      </c>
      <c r="BM32" s="44">
        <f t="shared" si="20"/>
        <v>0</v>
      </c>
      <c r="BN32" s="44">
        <f t="shared" si="21"/>
        <v>0</v>
      </c>
      <c r="BO32" s="44">
        <f t="shared" si="22"/>
        <v>0</v>
      </c>
      <c r="BP32" s="44">
        <f t="shared" si="23"/>
        <v>0</v>
      </c>
      <c r="BQ32" s="42"/>
    </row>
    <row r="33" spans="1:69" s="45" customFormat="1" ht="105" x14ac:dyDescent="0.25">
      <c r="A33" s="34">
        <v>11300</v>
      </c>
      <c r="B33" s="35" t="str">
        <f>+VLOOKUP(A33,'[1]TAB. REF. PA'!$A$4:$B$14,2,FALSE)</f>
        <v>Dirección de Gestión de Recursos Financieros de Salud</v>
      </c>
      <c r="C33" s="36" t="s">
        <v>160</v>
      </c>
      <c r="D33" s="35" t="s">
        <v>145</v>
      </c>
      <c r="E33" s="36" t="s">
        <v>161</v>
      </c>
      <c r="F33" s="35" t="s">
        <v>162</v>
      </c>
      <c r="G33" s="37" t="s">
        <v>123</v>
      </c>
      <c r="H33" s="46">
        <v>1</v>
      </c>
      <c r="I33" s="36" t="s">
        <v>314</v>
      </c>
      <c r="J33" s="38" t="s">
        <v>180</v>
      </c>
      <c r="K33" s="39">
        <v>4936416000</v>
      </c>
      <c r="L33" s="140">
        <v>1.1553401328696884E-4</v>
      </c>
      <c r="M33" s="41" t="s">
        <v>46</v>
      </c>
      <c r="N33" s="41" t="s">
        <v>68</v>
      </c>
      <c r="O33" s="41" t="s">
        <v>21</v>
      </c>
      <c r="P33" s="41" t="s">
        <v>36</v>
      </c>
      <c r="Q33" s="41" t="s">
        <v>213</v>
      </c>
      <c r="R33" s="42"/>
      <c r="S33" s="41" t="s">
        <v>182</v>
      </c>
      <c r="T33" s="41" t="s">
        <v>99</v>
      </c>
      <c r="U33" s="40">
        <v>1</v>
      </c>
      <c r="V33" s="35" t="str">
        <f>+$J$33</f>
        <v>Rendimientos Financieros cuentas de recaudo EPS - SSF</v>
      </c>
      <c r="W33" s="39">
        <v>4936416000</v>
      </c>
      <c r="X33" s="34" t="s">
        <v>116</v>
      </c>
      <c r="Y33" s="40">
        <v>0.25</v>
      </c>
      <c r="Z33" s="35" t="str">
        <f>+$J$33</f>
        <v>Rendimientos Financieros cuentas de recaudo EPS - SSF</v>
      </c>
      <c r="AA33" s="49">
        <v>1234104000</v>
      </c>
      <c r="AB33" s="42"/>
      <c r="AC33" s="42"/>
      <c r="AD33" s="40">
        <f t="shared" si="0"/>
        <v>0</v>
      </c>
      <c r="AE33" s="40">
        <f t="shared" si="1"/>
        <v>0</v>
      </c>
      <c r="AF33" s="40">
        <f t="shared" si="2"/>
        <v>0</v>
      </c>
      <c r="AG33" s="40">
        <f t="shared" si="3"/>
        <v>0</v>
      </c>
      <c r="AH33" s="40">
        <v>0.25</v>
      </c>
      <c r="AI33" s="35" t="str">
        <f>+$J$33</f>
        <v>Rendimientos Financieros cuentas de recaudo EPS - SSF</v>
      </c>
      <c r="AJ33" s="49">
        <v>1234104000</v>
      </c>
      <c r="AK33" s="42"/>
      <c r="AL33" s="42"/>
      <c r="AM33" s="40">
        <f t="shared" si="4"/>
        <v>0</v>
      </c>
      <c r="AN33" s="40">
        <f t="shared" si="5"/>
        <v>0</v>
      </c>
      <c r="AO33" s="40">
        <f t="shared" si="6"/>
        <v>0</v>
      </c>
      <c r="AP33" s="43">
        <f t="shared" si="7"/>
        <v>0</v>
      </c>
      <c r="AQ33" s="40">
        <v>0.25</v>
      </c>
      <c r="AR33" s="35" t="str">
        <f>+$J$33</f>
        <v>Rendimientos Financieros cuentas de recaudo EPS - SSF</v>
      </c>
      <c r="AS33" s="49">
        <v>1234104000</v>
      </c>
      <c r="AT33" s="42"/>
      <c r="AU33" s="42"/>
      <c r="AV33" s="40">
        <f t="shared" si="8"/>
        <v>0</v>
      </c>
      <c r="AW33" s="40">
        <f t="shared" si="9"/>
        <v>0</v>
      </c>
      <c r="AX33" s="40">
        <f t="shared" si="10"/>
        <v>0</v>
      </c>
      <c r="AY33" s="40">
        <f t="shared" si="11"/>
        <v>0</v>
      </c>
      <c r="AZ33" s="40">
        <v>0.25</v>
      </c>
      <c r="BA33" s="35" t="str">
        <f>+$J$33</f>
        <v>Rendimientos Financieros cuentas de recaudo EPS - SSF</v>
      </c>
      <c r="BB33" s="49">
        <v>1234104000</v>
      </c>
      <c r="BC33" s="42"/>
      <c r="BD33" s="42"/>
      <c r="BE33" s="40">
        <f t="shared" si="12"/>
        <v>0</v>
      </c>
      <c r="BF33" s="40">
        <f t="shared" si="13"/>
        <v>0</v>
      </c>
      <c r="BG33" s="40">
        <f t="shared" si="14"/>
        <v>0</v>
      </c>
      <c r="BH33" s="40">
        <f t="shared" si="15"/>
        <v>0</v>
      </c>
      <c r="BI33" s="44">
        <f t="shared" si="16"/>
        <v>0</v>
      </c>
      <c r="BJ33" s="44">
        <f t="shared" si="17"/>
        <v>0</v>
      </c>
      <c r="BK33" s="44">
        <f t="shared" si="18"/>
        <v>0</v>
      </c>
      <c r="BL33" s="44">
        <f t="shared" si="19"/>
        <v>0</v>
      </c>
      <c r="BM33" s="44">
        <f t="shared" si="20"/>
        <v>0</v>
      </c>
      <c r="BN33" s="44">
        <f t="shared" si="21"/>
        <v>0</v>
      </c>
      <c r="BO33" s="44">
        <f t="shared" si="22"/>
        <v>0</v>
      </c>
      <c r="BP33" s="44">
        <f t="shared" si="23"/>
        <v>0</v>
      </c>
      <c r="BQ33" s="42"/>
    </row>
    <row r="34" spans="1:69" s="45" customFormat="1" ht="105" x14ac:dyDescent="0.25">
      <c r="A34" s="34">
        <v>11300</v>
      </c>
      <c r="B34" s="35" t="str">
        <f>+VLOOKUP(A34,'[1]TAB. REF. PA'!$A$4:$B$14,2,FALSE)</f>
        <v>Dirección de Gestión de Recursos Financieros de Salud</v>
      </c>
      <c r="C34" s="36" t="s">
        <v>160</v>
      </c>
      <c r="D34" s="35" t="s">
        <v>145</v>
      </c>
      <c r="E34" s="36" t="s">
        <v>161</v>
      </c>
      <c r="F34" s="35" t="s">
        <v>162</v>
      </c>
      <c r="G34" s="37" t="s">
        <v>123</v>
      </c>
      <c r="H34" s="46">
        <v>1</v>
      </c>
      <c r="I34" s="36" t="s">
        <v>315</v>
      </c>
      <c r="J34" s="38" t="s">
        <v>181</v>
      </c>
      <c r="K34" s="39">
        <v>50000000000</v>
      </c>
      <c r="L34" s="140">
        <v>1.1702216070016065E-3</v>
      </c>
      <c r="M34" s="41" t="s">
        <v>46</v>
      </c>
      <c r="N34" s="41" t="s">
        <v>68</v>
      </c>
      <c r="O34" s="41" t="s">
        <v>21</v>
      </c>
      <c r="P34" s="41" t="s">
        <v>36</v>
      </c>
      <c r="Q34" s="41" t="s">
        <v>213</v>
      </c>
      <c r="R34" s="42"/>
      <c r="S34" s="41" t="s">
        <v>182</v>
      </c>
      <c r="T34" s="41" t="s">
        <v>99</v>
      </c>
      <c r="U34" s="40">
        <v>1</v>
      </c>
      <c r="V34" s="35" t="str">
        <f>+$J$34</f>
        <v>Fortalecimientos Patrimonial a las Entidades del Sector salud</v>
      </c>
      <c r="W34" s="39">
        <v>50000000000</v>
      </c>
      <c r="X34" s="34" t="s">
        <v>116</v>
      </c>
      <c r="Y34" s="40">
        <v>0.25</v>
      </c>
      <c r="Z34" s="35" t="str">
        <f>+$J$34</f>
        <v>Fortalecimientos Patrimonial a las Entidades del Sector salud</v>
      </c>
      <c r="AA34" s="49">
        <v>12500000000</v>
      </c>
      <c r="AB34" s="42"/>
      <c r="AC34" s="42"/>
      <c r="AD34" s="40">
        <f t="shared" si="0"/>
        <v>0</v>
      </c>
      <c r="AE34" s="40">
        <f t="shared" si="1"/>
        <v>0</v>
      </c>
      <c r="AF34" s="40">
        <f t="shared" si="2"/>
        <v>0</v>
      </c>
      <c r="AG34" s="40">
        <f t="shared" si="3"/>
        <v>0</v>
      </c>
      <c r="AH34" s="40">
        <v>0.25</v>
      </c>
      <c r="AI34" s="35" t="str">
        <f>+$J$34</f>
        <v>Fortalecimientos Patrimonial a las Entidades del Sector salud</v>
      </c>
      <c r="AJ34" s="49">
        <v>12500000000</v>
      </c>
      <c r="AK34" s="42"/>
      <c r="AL34" s="42"/>
      <c r="AM34" s="40">
        <f t="shared" si="4"/>
        <v>0</v>
      </c>
      <c r="AN34" s="40">
        <f t="shared" si="5"/>
        <v>0</v>
      </c>
      <c r="AO34" s="40">
        <f t="shared" si="6"/>
        <v>0</v>
      </c>
      <c r="AP34" s="43">
        <f t="shared" si="7"/>
        <v>0</v>
      </c>
      <c r="AQ34" s="40">
        <v>0.25</v>
      </c>
      <c r="AR34" s="35" t="str">
        <f>+$J$34</f>
        <v>Fortalecimientos Patrimonial a las Entidades del Sector salud</v>
      </c>
      <c r="AS34" s="49">
        <v>12500000000</v>
      </c>
      <c r="AT34" s="42"/>
      <c r="AU34" s="42"/>
      <c r="AV34" s="40">
        <f t="shared" si="8"/>
        <v>0</v>
      </c>
      <c r="AW34" s="40">
        <f t="shared" si="9"/>
        <v>0</v>
      </c>
      <c r="AX34" s="40">
        <f t="shared" si="10"/>
        <v>0</v>
      </c>
      <c r="AY34" s="40">
        <f t="shared" si="11"/>
        <v>0</v>
      </c>
      <c r="AZ34" s="40">
        <v>0.25</v>
      </c>
      <c r="BA34" s="35" t="str">
        <f>+$J$34</f>
        <v>Fortalecimientos Patrimonial a las Entidades del Sector salud</v>
      </c>
      <c r="BB34" s="49">
        <v>12500000000</v>
      </c>
      <c r="BC34" s="42"/>
      <c r="BD34" s="42"/>
      <c r="BE34" s="40">
        <f t="shared" si="12"/>
        <v>0</v>
      </c>
      <c r="BF34" s="40">
        <f t="shared" si="13"/>
        <v>0</v>
      </c>
      <c r="BG34" s="40">
        <f t="shared" si="14"/>
        <v>0</v>
      </c>
      <c r="BH34" s="40">
        <f t="shared" si="15"/>
        <v>0</v>
      </c>
      <c r="BI34" s="44">
        <f t="shared" si="16"/>
        <v>0</v>
      </c>
      <c r="BJ34" s="44">
        <f t="shared" si="17"/>
        <v>0</v>
      </c>
      <c r="BK34" s="44">
        <f t="shared" si="18"/>
        <v>0</v>
      </c>
      <c r="BL34" s="44">
        <f t="shared" si="19"/>
        <v>0</v>
      </c>
      <c r="BM34" s="44">
        <f t="shared" si="20"/>
        <v>0</v>
      </c>
      <c r="BN34" s="44">
        <f t="shared" si="21"/>
        <v>0</v>
      </c>
      <c r="BO34" s="44">
        <f t="shared" si="22"/>
        <v>0</v>
      </c>
      <c r="BP34" s="44">
        <f t="shared" si="23"/>
        <v>0</v>
      </c>
      <c r="BQ34" s="42"/>
    </row>
    <row r="35" spans="1:69" s="45" customFormat="1" ht="105" x14ac:dyDescent="0.25">
      <c r="A35" s="34">
        <v>11300</v>
      </c>
      <c r="B35" s="35" t="str">
        <f>+VLOOKUP(A35,'[1]TAB. REF. PA'!$A$4:$B$14,2,FALSE)</f>
        <v>Dirección de Gestión de Recursos Financieros de Salud</v>
      </c>
      <c r="C35" s="36" t="s">
        <v>160</v>
      </c>
      <c r="D35" s="35" t="s">
        <v>145</v>
      </c>
      <c r="E35" s="36" t="s">
        <v>578</v>
      </c>
      <c r="F35" s="35" t="s">
        <v>574</v>
      </c>
      <c r="G35" s="37" t="s">
        <v>124</v>
      </c>
      <c r="H35" s="34">
        <v>12</v>
      </c>
      <c r="I35" s="36" t="s">
        <v>579</v>
      </c>
      <c r="J35" s="35" t="s">
        <v>245</v>
      </c>
      <c r="K35" s="39">
        <v>53187356</v>
      </c>
      <c r="L35" s="40">
        <v>1</v>
      </c>
      <c r="M35" s="41" t="s">
        <v>46</v>
      </c>
      <c r="N35" s="41" t="s">
        <v>68</v>
      </c>
      <c r="O35" s="41" t="s">
        <v>21</v>
      </c>
      <c r="P35" s="41" t="s">
        <v>36</v>
      </c>
      <c r="Q35" s="41" t="s">
        <v>213</v>
      </c>
      <c r="R35" s="42"/>
      <c r="S35" s="41" t="s">
        <v>626</v>
      </c>
      <c r="T35" s="41" t="s">
        <v>99</v>
      </c>
      <c r="U35" s="39">
        <v>12</v>
      </c>
      <c r="V35" s="35" t="str">
        <f>+$J$35</f>
        <v>Realizar Informes de Ejecución Presupuestal</v>
      </c>
      <c r="W35" s="39">
        <v>53187356</v>
      </c>
      <c r="X35" s="34" t="s">
        <v>117</v>
      </c>
      <c r="Y35" s="39">
        <v>3</v>
      </c>
      <c r="Z35" s="35" t="str">
        <f>+$J$35</f>
        <v>Realizar Informes de Ejecución Presupuestal</v>
      </c>
      <c r="AA35" s="49">
        <v>12240000</v>
      </c>
      <c r="AB35" s="40"/>
      <c r="AC35" s="49"/>
      <c r="AD35" s="40">
        <f t="shared" si="0"/>
        <v>0</v>
      </c>
      <c r="AE35" s="40">
        <f t="shared" si="1"/>
        <v>0</v>
      </c>
      <c r="AF35" s="40">
        <f t="shared" si="2"/>
        <v>0</v>
      </c>
      <c r="AG35" s="40">
        <f t="shared" si="3"/>
        <v>0</v>
      </c>
      <c r="AH35" s="39">
        <v>3</v>
      </c>
      <c r="AI35" s="35" t="str">
        <f>+$J$35</f>
        <v>Realizar Informes de Ejecución Presupuestal</v>
      </c>
      <c r="AJ35" s="49">
        <v>12240000</v>
      </c>
      <c r="AK35" s="42"/>
      <c r="AL35" s="42"/>
      <c r="AM35" s="40">
        <f t="shared" si="4"/>
        <v>0</v>
      </c>
      <c r="AN35" s="40">
        <f t="shared" si="5"/>
        <v>0</v>
      </c>
      <c r="AO35" s="40">
        <f t="shared" si="6"/>
        <v>0</v>
      </c>
      <c r="AP35" s="43">
        <f t="shared" si="7"/>
        <v>0</v>
      </c>
      <c r="AQ35" s="39">
        <v>3</v>
      </c>
      <c r="AR35" s="35" t="str">
        <f>+$J$35</f>
        <v>Realizar Informes de Ejecución Presupuestal</v>
      </c>
      <c r="AS35" s="49">
        <v>13296839</v>
      </c>
      <c r="AT35" s="42"/>
      <c r="AU35" s="42"/>
      <c r="AV35" s="40">
        <f t="shared" si="8"/>
        <v>0</v>
      </c>
      <c r="AW35" s="40">
        <f t="shared" si="9"/>
        <v>0</v>
      </c>
      <c r="AX35" s="40">
        <f t="shared" si="10"/>
        <v>0</v>
      </c>
      <c r="AY35" s="40">
        <f t="shared" si="11"/>
        <v>0</v>
      </c>
      <c r="AZ35" s="39">
        <v>3</v>
      </c>
      <c r="BA35" s="35" t="str">
        <f>+$J$35</f>
        <v>Realizar Informes de Ejecución Presupuestal</v>
      </c>
      <c r="BB35" s="49">
        <v>15410517</v>
      </c>
      <c r="BC35" s="42"/>
      <c r="BD35" s="42"/>
      <c r="BE35" s="40">
        <f t="shared" si="12"/>
        <v>0</v>
      </c>
      <c r="BF35" s="40">
        <f t="shared" si="13"/>
        <v>0</v>
      </c>
      <c r="BG35" s="40">
        <f t="shared" si="14"/>
        <v>0</v>
      </c>
      <c r="BH35" s="40">
        <f t="shared" si="15"/>
        <v>0</v>
      </c>
      <c r="BI35" s="44">
        <f t="shared" si="16"/>
        <v>0</v>
      </c>
      <c r="BJ35" s="44">
        <f t="shared" si="17"/>
        <v>0</v>
      </c>
      <c r="BK35" s="44">
        <f t="shared" si="18"/>
        <v>0</v>
      </c>
      <c r="BL35" s="44">
        <f t="shared" si="19"/>
        <v>0</v>
      </c>
      <c r="BM35" s="44">
        <f t="shared" si="20"/>
        <v>0</v>
      </c>
      <c r="BN35" s="44">
        <f t="shared" si="21"/>
        <v>0</v>
      </c>
      <c r="BO35" s="44">
        <f t="shared" si="22"/>
        <v>0</v>
      </c>
      <c r="BP35" s="44">
        <f t="shared" si="23"/>
        <v>0</v>
      </c>
      <c r="BQ35" s="42"/>
    </row>
    <row r="36" spans="1:69" s="45" customFormat="1" ht="105" x14ac:dyDescent="0.25">
      <c r="A36" s="34">
        <v>11300</v>
      </c>
      <c r="B36" s="35" t="str">
        <f>+VLOOKUP(A36,'[1]TAB. REF. PA'!$A$4:$B$14,2,FALSE)</f>
        <v>Dirección de Gestión de Recursos Financieros de Salud</v>
      </c>
      <c r="C36" s="36" t="s">
        <v>160</v>
      </c>
      <c r="D36" s="35" t="s">
        <v>145</v>
      </c>
      <c r="E36" s="36" t="s">
        <v>580</v>
      </c>
      <c r="F36" s="35" t="s">
        <v>246</v>
      </c>
      <c r="G36" s="37" t="s">
        <v>123</v>
      </c>
      <c r="H36" s="47">
        <v>1</v>
      </c>
      <c r="I36" s="36" t="s">
        <v>581</v>
      </c>
      <c r="J36" s="35" t="s">
        <v>247</v>
      </c>
      <c r="K36" s="39">
        <v>243106560</v>
      </c>
      <c r="L36" s="40">
        <v>0.5</v>
      </c>
      <c r="M36" s="41" t="s">
        <v>46</v>
      </c>
      <c r="N36" s="41" t="s">
        <v>68</v>
      </c>
      <c r="O36" s="41" t="s">
        <v>21</v>
      </c>
      <c r="P36" s="41" t="s">
        <v>36</v>
      </c>
      <c r="Q36" s="41" t="s">
        <v>214</v>
      </c>
      <c r="R36" s="42"/>
      <c r="S36" s="41" t="s">
        <v>594</v>
      </c>
      <c r="T36" s="41" t="s">
        <v>99</v>
      </c>
      <c r="U36" s="40">
        <v>1</v>
      </c>
      <c r="V36" s="35" t="str">
        <f>+$J$36</f>
        <v>Seguimiento e identificación del Recaudo</v>
      </c>
      <c r="W36" s="39">
        <v>243106560</v>
      </c>
      <c r="X36" s="34" t="s">
        <v>117</v>
      </c>
      <c r="Y36" s="40">
        <v>0.25</v>
      </c>
      <c r="Z36" s="35" t="str">
        <f>+$J$36</f>
        <v>Seguimiento e identificación del Recaudo</v>
      </c>
      <c r="AA36" s="49">
        <v>60776640</v>
      </c>
      <c r="AB36" s="42"/>
      <c r="AC36" s="42"/>
      <c r="AD36" s="40">
        <f t="shared" si="0"/>
        <v>0</v>
      </c>
      <c r="AE36" s="40">
        <f t="shared" si="1"/>
        <v>0</v>
      </c>
      <c r="AF36" s="40">
        <f t="shared" si="2"/>
        <v>0</v>
      </c>
      <c r="AG36" s="40">
        <f t="shared" si="3"/>
        <v>0</v>
      </c>
      <c r="AH36" s="40">
        <v>0.25</v>
      </c>
      <c r="AI36" s="35" t="str">
        <f>+$J$36</f>
        <v>Seguimiento e identificación del Recaudo</v>
      </c>
      <c r="AJ36" s="49">
        <v>60776640</v>
      </c>
      <c r="AK36" s="42"/>
      <c r="AL36" s="42"/>
      <c r="AM36" s="40">
        <f t="shared" si="4"/>
        <v>0</v>
      </c>
      <c r="AN36" s="40">
        <f t="shared" si="5"/>
        <v>0</v>
      </c>
      <c r="AO36" s="40">
        <f t="shared" si="6"/>
        <v>0</v>
      </c>
      <c r="AP36" s="43">
        <f t="shared" si="7"/>
        <v>0</v>
      </c>
      <c r="AQ36" s="40">
        <v>0.25</v>
      </c>
      <c r="AR36" s="35" t="str">
        <f>+$J$36</f>
        <v>Seguimiento e identificación del Recaudo</v>
      </c>
      <c r="AS36" s="49">
        <v>60776640</v>
      </c>
      <c r="AT36" s="42"/>
      <c r="AU36" s="42"/>
      <c r="AV36" s="40">
        <f t="shared" si="8"/>
        <v>0</v>
      </c>
      <c r="AW36" s="40">
        <f t="shared" si="9"/>
        <v>0</v>
      </c>
      <c r="AX36" s="40">
        <f t="shared" si="10"/>
        <v>0</v>
      </c>
      <c r="AY36" s="40">
        <f t="shared" si="11"/>
        <v>0</v>
      </c>
      <c r="AZ36" s="40">
        <v>0.25</v>
      </c>
      <c r="BA36" s="35" t="str">
        <f>+$J$36</f>
        <v>Seguimiento e identificación del Recaudo</v>
      </c>
      <c r="BB36" s="49">
        <v>60776640</v>
      </c>
      <c r="BC36" s="42"/>
      <c r="BD36" s="42"/>
      <c r="BE36" s="40">
        <f t="shared" si="12"/>
        <v>0</v>
      </c>
      <c r="BF36" s="40">
        <f t="shared" si="13"/>
        <v>0</v>
      </c>
      <c r="BG36" s="40">
        <f t="shared" si="14"/>
        <v>0</v>
      </c>
      <c r="BH36" s="40">
        <f t="shared" si="15"/>
        <v>0</v>
      </c>
      <c r="BI36" s="44">
        <f t="shared" si="16"/>
        <v>0</v>
      </c>
      <c r="BJ36" s="44">
        <f t="shared" si="17"/>
        <v>0</v>
      </c>
      <c r="BK36" s="44">
        <f t="shared" si="18"/>
        <v>0</v>
      </c>
      <c r="BL36" s="44">
        <f t="shared" si="19"/>
        <v>0</v>
      </c>
      <c r="BM36" s="44">
        <f t="shared" si="20"/>
        <v>0</v>
      </c>
      <c r="BN36" s="44">
        <f t="shared" si="21"/>
        <v>0</v>
      </c>
      <c r="BO36" s="44">
        <f t="shared" si="22"/>
        <v>0</v>
      </c>
      <c r="BP36" s="44">
        <f t="shared" si="23"/>
        <v>0</v>
      </c>
      <c r="BQ36" s="42"/>
    </row>
    <row r="37" spans="1:69" s="45" customFormat="1" ht="105" x14ac:dyDescent="0.25">
      <c r="A37" s="34">
        <v>11300</v>
      </c>
      <c r="B37" s="35" t="str">
        <f>+VLOOKUP(A37,'[1]TAB. REF. PA'!$A$4:$B$14,2,FALSE)</f>
        <v>Dirección de Gestión de Recursos Financieros de Salud</v>
      </c>
      <c r="C37" s="36" t="s">
        <v>160</v>
      </c>
      <c r="D37" s="35" t="s">
        <v>145</v>
      </c>
      <c r="E37" s="36" t="s">
        <v>580</v>
      </c>
      <c r="F37" s="35" t="s">
        <v>246</v>
      </c>
      <c r="G37" s="37" t="s">
        <v>123</v>
      </c>
      <c r="H37" s="47">
        <v>1</v>
      </c>
      <c r="I37" s="36" t="s">
        <v>582</v>
      </c>
      <c r="J37" s="35" t="s">
        <v>575</v>
      </c>
      <c r="K37" s="39">
        <v>0</v>
      </c>
      <c r="L37" s="39">
        <v>12</v>
      </c>
      <c r="M37" s="41" t="s">
        <v>46</v>
      </c>
      <c r="N37" s="41" t="s">
        <v>68</v>
      </c>
      <c r="O37" s="41" t="s">
        <v>21</v>
      </c>
      <c r="P37" s="41" t="s">
        <v>36</v>
      </c>
      <c r="Q37" s="41" t="s">
        <v>214</v>
      </c>
      <c r="R37" s="42"/>
      <c r="S37" s="41"/>
      <c r="T37" s="41" t="s">
        <v>99</v>
      </c>
      <c r="U37" s="39">
        <v>12</v>
      </c>
      <c r="V37" s="35" t="str">
        <f>+$J$37</f>
        <v>Informe Mensual de Recaudo Efectivo</v>
      </c>
      <c r="W37" s="39">
        <v>0</v>
      </c>
      <c r="X37" s="34" t="s">
        <v>117</v>
      </c>
      <c r="Y37" s="39">
        <v>3</v>
      </c>
      <c r="Z37" s="35" t="str">
        <f>+$J$37</f>
        <v>Informe Mensual de Recaudo Efectivo</v>
      </c>
      <c r="AA37" s="49">
        <v>0</v>
      </c>
      <c r="AB37" s="42"/>
      <c r="AC37" s="42"/>
      <c r="AD37" s="40">
        <f t="shared" si="0"/>
        <v>0</v>
      </c>
      <c r="AE37" s="40" t="e">
        <f t="shared" si="1"/>
        <v>#DIV/0!</v>
      </c>
      <c r="AF37" s="40">
        <f t="shared" si="2"/>
        <v>0</v>
      </c>
      <c r="AG37" s="40" t="e">
        <f t="shared" si="3"/>
        <v>#DIV/0!</v>
      </c>
      <c r="AH37" s="39">
        <v>3</v>
      </c>
      <c r="AI37" s="35" t="str">
        <f>+$J$37</f>
        <v>Informe Mensual de Recaudo Efectivo</v>
      </c>
      <c r="AJ37" s="49">
        <v>0</v>
      </c>
      <c r="AK37" s="42"/>
      <c r="AL37" s="42"/>
      <c r="AM37" s="40">
        <f t="shared" si="4"/>
        <v>0</v>
      </c>
      <c r="AN37" s="40" t="e">
        <f t="shared" si="5"/>
        <v>#DIV/0!</v>
      </c>
      <c r="AO37" s="40">
        <f t="shared" si="6"/>
        <v>0</v>
      </c>
      <c r="AP37" s="43" t="e">
        <f t="shared" si="7"/>
        <v>#DIV/0!</v>
      </c>
      <c r="AQ37" s="39">
        <v>3</v>
      </c>
      <c r="AR37" s="35" t="str">
        <f>+$J$37</f>
        <v>Informe Mensual de Recaudo Efectivo</v>
      </c>
      <c r="AS37" s="49">
        <v>0</v>
      </c>
      <c r="AT37" s="42"/>
      <c r="AU37" s="42"/>
      <c r="AV37" s="40">
        <f t="shared" si="8"/>
        <v>0</v>
      </c>
      <c r="AW37" s="40" t="e">
        <f t="shared" si="9"/>
        <v>#DIV/0!</v>
      </c>
      <c r="AX37" s="40">
        <f t="shared" si="10"/>
        <v>0</v>
      </c>
      <c r="AY37" s="40" t="e">
        <f t="shared" si="11"/>
        <v>#DIV/0!</v>
      </c>
      <c r="AZ37" s="39">
        <v>3</v>
      </c>
      <c r="BA37" s="35" t="str">
        <f>+$J$37</f>
        <v>Informe Mensual de Recaudo Efectivo</v>
      </c>
      <c r="BB37" s="49">
        <v>0</v>
      </c>
      <c r="BC37" s="42"/>
      <c r="BD37" s="42"/>
      <c r="BE37" s="40">
        <f t="shared" si="12"/>
        <v>0</v>
      </c>
      <c r="BF37" s="40" t="e">
        <f t="shared" si="13"/>
        <v>#DIV/0!</v>
      </c>
      <c r="BG37" s="40">
        <f t="shared" si="14"/>
        <v>0</v>
      </c>
      <c r="BH37" s="40" t="e">
        <f t="shared" si="15"/>
        <v>#DIV/0!</v>
      </c>
      <c r="BI37" s="44">
        <f t="shared" si="16"/>
        <v>0</v>
      </c>
      <c r="BJ37" s="44" t="str">
        <f t="shared" si="17"/>
        <v>No Prog ni Ejec</v>
      </c>
      <c r="BK37" s="44">
        <f t="shared" si="18"/>
        <v>0</v>
      </c>
      <c r="BL37" s="44" t="str">
        <f t="shared" si="19"/>
        <v>No Prog ni Ejec</v>
      </c>
      <c r="BM37" s="44">
        <f t="shared" si="20"/>
        <v>0</v>
      </c>
      <c r="BN37" s="44" t="str">
        <f t="shared" si="21"/>
        <v>No Prog ni Ejec</v>
      </c>
      <c r="BO37" s="44">
        <f t="shared" si="22"/>
        <v>0</v>
      </c>
      <c r="BP37" s="44" t="str">
        <f t="shared" si="23"/>
        <v>No Prog ni Ejec</v>
      </c>
      <c r="BQ37" s="42"/>
    </row>
    <row r="38" spans="1:69" s="45" customFormat="1" ht="120" x14ac:dyDescent="0.25">
      <c r="A38" s="34">
        <v>11300</v>
      </c>
      <c r="B38" s="35" t="str">
        <f>+VLOOKUP(A38,'[1]TAB. REF. PA'!$A$4:$B$14,2,FALSE)</f>
        <v>Dirección de Gestión de Recursos Financieros de Salud</v>
      </c>
      <c r="C38" s="36" t="s">
        <v>160</v>
      </c>
      <c r="D38" s="35" t="s">
        <v>145</v>
      </c>
      <c r="E38" s="36" t="s">
        <v>580</v>
      </c>
      <c r="F38" s="35" t="s">
        <v>246</v>
      </c>
      <c r="G38" s="37" t="s">
        <v>123</v>
      </c>
      <c r="H38" s="47">
        <v>1</v>
      </c>
      <c r="I38" s="36" t="s">
        <v>583</v>
      </c>
      <c r="J38" s="35" t="s">
        <v>248</v>
      </c>
      <c r="K38" s="39">
        <v>0</v>
      </c>
      <c r="L38" s="40">
        <v>0.5</v>
      </c>
      <c r="M38" s="41" t="s">
        <v>46</v>
      </c>
      <c r="N38" s="41" t="s">
        <v>68</v>
      </c>
      <c r="O38" s="41" t="s">
        <v>21</v>
      </c>
      <c r="P38" s="41" t="s">
        <v>36</v>
      </c>
      <c r="Q38" s="41" t="s">
        <v>214</v>
      </c>
      <c r="R38" s="42"/>
      <c r="S38" s="41" t="s">
        <v>249</v>
      </c>
      <c r="T38" s="41" t="s">
        <v>99</v>
      </c>
      <c r="U38" s="40">
        <v>1</v>
      </c>
      <c r="V38" s="35" t="str">
        <f>+$J$38</f>
        <v>Seguimiento a Partidas Sin Identificar</v>
      </c>
      <c r="W38" s="39">
        <v>0</v>
      </c>
      <c r="X38" s="34" t="s">
        <v>117</v>
      </c>
      <c r="Y38" s="40">
        <v>0.25</v>
      </c>
      <c r="Z38" s="35" t="str">
        <f>+$J$38</f>
        <v>Seguimiento a Partidas Sin Identificar</v>
      </c>
      <c r="AA38" s="49">
        <v>0</v>
      </c>
      <c r="AB38" s="42"/>
      <c r="AC38" s="42"/>
      <c r="AD38" s="40">
        <f t="shared" si="0"/>
        <v>0</v>
      </c>
      <c r="AE38" s="40" t="e">
        <f t="shared" si="1"/>
        <v>#DIV/0!</v>
      </c>
      <c r="AF38" s="40">
        <f t="shared" si="2"/>
        <v>0</v>
      </c>
      <c r="AG38" s="40" t="e">
        <f t="shared" si="3"/>
        <v>#DIV/0!</v>
      </c>
      <c r="AH38" s="40">
        <v>0.25</v>
      </c>
      <c r="AI38" s="35" t="str">
        <f>+$J$38</f>
        <v>Seguimiento a Partidas Sin Identificar</v>
      </c>
      <c r="AJ38" s="49">
        <v>0</v>
      </c>
      <c r="AK38" s="42"/>
      <c r="AL38" s="42"/>
      <c r="AM38" s="40">
        <f t="shared" si="4"/>
        <v>0</v>
      </c>
      <c r="AN38" s="40" t="e">
        <f t="shared" si="5"/>
        <v>#DIV/0!</v>
      </c>
      <c r="AO38" s="40">
        <f t="shared" si="6"/>
        <v>0</v>
      </c>
      <c r="AP38" s="43" t="e">
        <f t="shared" si="7"/>
        <v>#DIV/0!</v>
      </c>
      <c r="AQ38" s="40">
        <v>0.25</v>
      </c>
      <c r="AR38" s="35" t="str">
        <f>+$J$38</f>
        <v>Seguimiento a Partidas Sin Identificar</v>
      </c>
      <c r="AS38" s="49">
        <v>0</v>
      </c>
      <c r="AT38" s="42"/>
      <c r="AU38" s="42"/>
      <c r="AV38" s="40">
        <f t="shared" si="8"/>
        <v>0</v>
      </c>
      <c r="AW38" s="40" t="e">
        <f t="shared" si="9"/>
        <v>#DIV/0!</v>
      </c>
      <c r="AX38" s="40">
        <f t="shared" si="10"/>
        <v>0</v>
      </c>
      <c r="AY38" s="40" t="e">
        <f t="shared" si="11"/>
        <v>#DIV/0!</v>
      </c>
      <c r="AZ38" s="40">
        <v>0.25</v>
      </c>
      <c r="BA38" s="35" t="str">
        <f>+$J$38</f>
        <v>Seguimiento a Partidas Sin Identificar</v>
      </c>
      <c r="BB38" s="49">
        <v>0</v>
      </c>
      <c r="BC38" s="42"/>
      <c r="BD38" s="42"/>
      <c r="BE38" s="40">
        <f t="shared" si="12"/>
        <v>0</v>
      </c>
      <c r="BF38" s="40" t="e">
        <f t="shared" si="13"/>
        <v>#DIV/0!</v>
      </c>
      <c r="BG38" s="40">
        <f t="shared" si="14"/>
        <v>0</v>
      </c>
      <c r="BH38" s="40" t="e">
        <f t="shared" si="15"/>
        <v>#DIV/0!</v>
      </c>
      <c r="BI38" s="44">
        <f t="shared" si="16"/>
        <v>0</v>
      </c>
      <c r="BJ38" s="44" t="str">
        <f t="shared" si="17"/>
        <v>No Prog ni Ejec</v>
      </c>
      <c r="BK38" s="44">
        <f t="shared" si="18"/>
        <v>0</v>
      </c>
      <c r="BL38" s="44" t="str">
        <f t="shared" si="19"/>
        <v>No Prog ni Ejec</v>
      </c>
      <c r="BM38" s="44">
        <f t="shared" si="20"/>
        <v>0</v>
      </c>
      <c r="BN38" s="44" t="str">
        <f t="shared" si="21"/>
        <v>No Prog ni Ejec</v>
      </c>
      <c r="BO38" s="44">
        <f t="shared" si="22"/>
        <v>0</v>
      </c>
      <c r="BP38" s="44" t="str">
        <f t="shared" si="23"/>
        <v>No Prog ni Ejec</v>
      </c>
      <c r="BQ38" s="42"/>
    </row>
    <row r="39" spans="1:69" s="45" customFormat="1" ht="105" x14ac:dyDescent="0.25">
      <c r="A39" s="34">
        <v>11300</v>
      </c>
      <c r="B39" s="35" t="str">
        <f>+VLOOKUP(A39,'[1]TAB. REF. PA'!$A$4:$B$14,2,FALSE)</f>
        <v>Dirección de Gestión de Recursos Financieros de Salud</v>
      </c>
      <c r="C39" s="36" t="s">
        <v>160</v>
      </c>
      <c r="D39" s="35" t="s">
        <v>145</v>
      </c>
      <c r="E39" s="36" t="s">
        <v>584</v>
      </c>
      <c r="F39" s="35" t="s">
        <v>251</v>
      </c>
      <c r="G39" s="37" t="s">
        <v>123</v>
      </c>
      <c r="H39" s="47">
        <v>1</v>
      </c>
      <c r="I39" s="36" t="s">
        <v>585</v>
      </c>
      <c r="J39" s="35" t="s">
        <v>250</v>
      </c>
      <c r="K39" s="39">
        <v>292066560</v>
      </c>
      <c r="L39" s="40">
        <v>1</v>
      </c>
      <c r="M39" s="41" t="s">
        <v>46</v>
      </c>
      <c r="N39" s="41" t="s">
        <v>68</v>
      </c>
      <c r="O39" s="41" t="s">
        <v>21</v>
      </c>
      <c r="P39" s="41" t="s">
        <v>36</v>
      </c>
      <c r="Q39" s="41" t="s">
        <v>215</v>
      </c>
      <c r="R39" s="42"/>
      <c r="S39" s="41" t="s">
        <v>595</v>
      </c>
      <c r="T39" s="41" t="s">
        <v>99</v>
      </c>
      <c r="U39" s="46">
        <v>1</v>
      </c>
      <c r="V39" s="35" t="str">
        <f>+$J$39</f>
        <v>Ordenes de Giros tramitadas</v>
      </c>
      <c r="W39" s="39">
        <v>292066560</v>
      </c>
      <c r="X39" s="34" t="s">
        <v>117</v>
      </c>
      <c r="Y39" s="50">
        <v>0.25</v>
      </c>
      <c r="Z39" s="35" t="str">
        <f>+$J$39</f>
        <v>Ordenes de Giros tramitadas</v>
      </c>
      <c r="AA39" s="49">
        <v>73016640</v>
      </c>
      <c r="AB39" s="42"/>
      <c r="AC39" s="42"/>
      <c r="AD39" s="40">
        <f t="shared" si="0"/>
        <v>0</v>
      </c>
      <c r="AE39" s="40">
        <f t="shared" si="1"/>
        <v>0</v>
      </c>
      <c r="AF39" s="40">
        <f t="shared" si="2"/>
        <v>0</v>
      </c>
      <c r="AG39" s="40">
        <f t="shared" si="3"/>
        <v>0</v>
      </c>
      <c r="AH39" s="50">
        <v>0.25</v>
      </c>
      <c r="AI39" s="35" t="str">
        <f>+$J$39</f>
        <v>Ordenes de Giros tramitadas</v>
      </c>
      <c r="AJ39" s="49">
        <v>73016640</v>
      </c>
      <c r="AK39" s="42"/>
      <c r="AL39" s="42"/>
      <c r="AM39" s="40">
        <f t="shared" si="4"/>
        <v>0</v>
      </c>
      <c r="AN39" s="40">
        <f t="shared" si="5"/>
        <v>0</v>
      </c>
      <c r="AO39" s="40">
        <f t="shared" si="6"/>
        <v>0</v>
      </c>
      <c r="AP39" s="43">
        <f t="shared" si="7"/>
        <v>0</v>
      </c>
      <c r="AQ39" s="50">
        <v>0.25</v>
      </c>
      <c r="AR39" s="35" t="str">
        <f>+$J$39</f>
        <v>Ordenes de Giros tramitadas</v>
      </c>
      <c r="AS39" s="49">
        <v>73016640</v>
      </c>
      <c r="AT39" s="42"/>
      <c r="AU39" s="42"/>
      <c r="AV39" s="40">
        <f t="shared" si="8"/>
        <v>0</v>
      </c>
      <c r="AW39" s="40">
        <f t="shared" si="9"/>
        <v>0</v>
      </c>
      <c r="AX39" s="40">
        <f t="shared" si="10"/>
        <v>0</v>
      </c>
      <c r="AY39" s="40">
        <f t="shared" si="11"/>
        <v>0</v>
      </c>
      <c r="AZ39" s="50">
        <v>0.25</v>
      </c>
      <c r="BA39" s="35" t="str">
        <f>+$J$39</f>
        <v>Ordenes de Giros tramitadas</v>
      </c>
      <c r="BB39" s="49">
        <v>73016640</v>
      </c>
      <c r="BC39" s="42"/>
      <c r="BD39" s="42"/>
      <c r="BE39" s="40">
        <f t="shared" si="12"/>
        <v>0</v>
      </c>
      <c r="BF39" s="40">
        <f t="shared" si="13"/>
        <v>0</v>
      </c>
      <c r="BG39" s="40">
        <f t="shared" si="14"/>
        <v>0</v>
      </c>
      <c r="BH39" s="40">
        <f t="shared" si="15"/>
        <v>0</v>
      </c>
      <c r="BI39" s="44">
        <f t="shared" si="16"/>
        <v>0</v>
      </c>
      <c r="BJ39" s="44">
        <f t="shared" si="17"/>
        <v>0</v>
      </c>
      <c r="BK39" s="44">
        <f t="shared" si="18"/>
        <v>0</v>
      </c>
      <c r="BL39" s="44">
        <f t="shared" si="19"/>
        <v>0</v>
      </c>
      <c r="BM39" s="44">
        <f t="shared" si="20"/>
        <v>0</v>
      </c>
      <c r="BN39" s="44">
        <f t="shared" si="21"/>
        <v>0</v>
      </c>
      <c r="BO39" s="44">
        <f t="shared" si="22"/>
        <v>0</v>
      </c>
      <c r="BP39" s="44">
        <f t="shared" si="23"/>
        <v>0</v>
      </c>
      <c r="BQ39" s="42"/>
    </row>
    <row r="40" spans="1:69" s="45" customFormat="1" ht="105" x14ac:dyDescent="0.25">
      <c r="A40" s="34">
        <v>11300</v>
      </c>
      <c r="B40" s="35" t="str">
        <f>+VLOOKUP(A40,'[1]TAB. REF. PA'!$A$4:$B$14,2,FALSE)</f>
        <v>Dirección de Gestión de Recursos Financieros de Salud</v>
      </c>
      <c r="C40" s="36" t="s">
        <v>160</v>
      </c>
      <c r="D40" s="35" t="s">
        <v>145</v>
      </c>
      <c r="E40" s="36" t="s">
        <v>586</v>
      </c>
      <c r="F40" s="35" t="s">
        <v>252</v>
      </c>
      <c r="G40" s="37" t="s">
        <v>123</v>
      </c>
      <c r="H40" s="47">
        <v>1</v>
      </c>
      <c r="I40" s="36" t="s">
        <v>587</v>
      </c>
      <c r="J40" s="35" t="s">
        <v>253</v>
      </c>
      <c r="K40" s="39">
        <v>48960000</v>
      </c>
      <c r="L40" s="40">
        <v>1</v>
      </c>
      <c r="M40" s="41" t="s">
        <v>46</v>
      </c>
      <c r="N40" s="41" t="s">
        <v>68</v>
      </c>
      <c r="O40" s="41" t="s">
        <v>21</v>
      </c>
      <c r="P40" s="41" t="s">
        <v>36</v>
      </c>
      <c r="Q40" s="41" t="s">
        <v>215</v>
      </c>
      <c r="R40" s="42"/>
      <c r="S40" s="41" t="s">
        <v>596</v>
      </c>
      <c r="T40" s="41" t="s">
        <v>99</v>
      </c>
      <c r="U40" s="46">
        <v>1</v>
      </c>
      <c r="V40" s="35" t="str">
        <f>+$J$40</f>
        <v>Boletines</v>
      </c>
      <c r="W40" s="39">
        <v>48960000</v>
      </c>
      <c r="X40" s="34" t="s">
        <v>114</v>
      </c>
      <c r="Y40" s="50">
        <v>0.25</v>
      </c>
      <c r="Z40" s="35" t="str">
        <f>+$J$40</f>
        <v>Boletines</v>
      </c>
      <c r="AA40" s="49">
        <v>12240000</v>
      </c>
      <c r="AB40" s="42"/>
      <c r="AC40" s="42"/>
      <c r="AD40" s="40">
        <f t="shared" si="0"/>
        <v>0</v>
      </c>
      <c r="AE40" s="40">
        <f t="shared" si="1"/>
        <v>0</v>
      </c>
      <c r="AF40" s="40">
        <f t="shared" si="2"/>
        <v>0</v>
      </c>
      <c r="AG40" s="40">
        <f t="shared" si="3"/>
        <v>0</v>
      </c>
      <c r="AH40" s="50">
        <v>0.25</v>
      </c>
      <c r="AI40" s="35" t="str">
        <f>+$J$40</f>
        <v>Boletines</v>
      </c>
      <c r="AJ40" s="49">
        <v>12240000</v>
      </c>
      <c r="AK40" s="42"/>
      <c r="AL40" s="42"/>
      <c r="AM40" s="40">
        <f t="shared" si="4"/>
        <v>0</v>
      </c>
      <c r="AN40" s="40">
        <f t="shared" si="5"/>
        <v>0</v>
      </c>
      <c r="AO40" s="40">
        <f t="shared" si="6"/>
        <v>0</v>
      </c>
      <c r="AP40" s="43">
        <f t="shared" si="7"/>
        <v>0</v>
      </c>
      <c r="AQ40" s="50">
        <v>0.25</v>
      </c>
      <c r="AR40" s="35" t="str">
        <f>+$J$40</f>
        <v>Boletines</v>
      </c>
      <c r="AS40" s="49">
        <v>12240000</v>
      </c>
      <c r="AT40" s="42"/>
      <c r="AU40" s="42"/>
      <c r="AV40" s="40">
        <f t="shared" si="8"/>
        <v>0</v>
      </c>
      <c r="AW40" s="40">
        <f t="shared" si="9"/>
        <v>0</v>
      </c>
      <c r="AX40" s="40">
        <f t="shared" si="10"/>
        <v>0</v>
      </c>
      <c r="AY40" s="40">
        <f t="shared" si="11"/>
        <v>0</v>
      </c>
      <c r="AZ40" s="50">
        <v>0.25</v>
      </c>
      <c r="BA40" s="35" t="str">
        <f>+$J$40</f>
        <v>Boletines</v>
      </c>
      <c r="BB40" s="49">
        <v>12240000</v>
      </c>
      <c r="BC40" s="42"/>
      <c r="BD40" s="42"/>
      <c r="BE40" s="40">
        <f t="shared" si="12"/>
        <v>0</v>
      </c>
      <c r="BF40" s="40">
        <f t="shared" si="13"/>
        <v>0</v>
      </c>
      <c r="BG40" s="40">
        <f t="shared" si="14"/>
        <v>0</v>
      </c>
      <c r="BH40" s="40">
        <f t="shared" si="15"/>
        <v>0</v>
      </c>
      <c r="BI40" s="44">
        <f t="shared" si="16"/>
        <v>0</v>
      </c>
      <c r="BJ40" s="44">
        <f t="shared" si="17"/>
        <v>0</v>
      </c>
      <c r="BK40" s="44">
        <f t="shared" si="18"/>
        <v>0</v>
      </c>
      <c r="BL40" s="44">
        <f t="shared" si="19"/>
        <v>0</v>
      </c>
      <c r="BM40" s="44">
        <f t="shared" si="20"/>
        <v>0</v>
      </c>
      <c r="BN40" s="44">
        <f t="shared" si="21"/>
        <v>0</v>
      </c>
      <c r="BO40" s="44">
        <f t="shared" si="22"/>
        <v>0</v>
      </c>
      <c r="BP40" s="44">
        <f t="shared" si="23"/>
        <v>0</v>
      </c>
      <c r="BQ40" s="42"/>
    </row>
    <row r="41" spans="1:69" s="45" customFormat="1" ht="105" x14ac:dyDescent="0.25">
      <c r="A41" s="34">
        <v>11300</v>
      </c>
      <c r="B41" s="35" t="str">
        <f>+VLOOKUP(A41,'[1]TAB. REF. PA'!$A$4:$B$14,2,FALSE)</f>
        <v>Dirección de Gestión de Recursos Financieros de Salud</v>
      </c>
      <c r="C41" s="36" t="s">
        <v>160</v>
      </c>
      <c r="D41" s="35" t="s">
        <v>145</v>
      </c>
      <c r="E41" s="36" t="s">
        <v>588</v>
      </c>
      <c r="F41" s="35" t="s">
        <v>254</v>
      </c>
      <c r="G41" s="37" t="s">
        <v>124</v>
      </c>
      <c r="H41" s="36">
        <v>4</v>
      </c>
      <c r="I41" s="36" t="s">
        <v>589</v>
      </c>
      <c r="J41" s="35" t="s">
        <v>254</v>
      </c>
      <c r="K41" s="39">
        <v>272680404</v>
      </c>
      <c r="L41" s="40">
        <v>1</v>
      </c>
      <c r="M41" s="41" t="s">
        <v>46</v>
      </c>
      <c r="N41" s="41" t="s">
        <v>68</v>
      </c>
      <c r="O41" s="41" t="s">
        <v>21</v>
      </c>
      <c r="P41" s="41" t="s">
        <v>36</v>
      </c>
      <c r="Q41" s="41" t="s">
        <v>215</v>
      </c>
      <c r="R41" s="42"/>
      <c r="S41" s="41" t="s">
        <v>255</v>
      </c>
      <c r="T41" s="41" t="s">
        <v>99</v>
      </c>
      <c r="U41" s="39">
        <f>+H41</f>
        <v>4</v>
      </c>
      <c r="V41" s="35" t="str">
        <f>+$J$41</f>
        <v>Estados Financieros</v>
      </c>
      <c r="W41" s="39">
        <v>272680404</v>
      </c>
      <c r="X41" s="34" t="s">
        <v>114</v>
      </c>
      <c r="Y41" s="39">
        <v>1</v>
      </c>
      <c r="Z41" s="35" t="str">
        <f>+$J$41</f>
        <v>Estados Financieros</v>
      </c>
      <c r="AA41" s="49">
        <v>68170101</v>
      </c>
      <c r="AB41" s="42"/>
      <c r="AC41" s="42"/>
      <c r="AD41" s="40">
        <f t="shared" si="0"/>
        <v>0</v>
      </c>
      <c r="AE41" s="40">
        <f t="shared" si="1"/>
        <v>0</v>
      </c>
      <c r="AF41" s="40">
        <f t="shared" si="2"/>
        <v>0</v>
      </c>
      <c r="AG41" s="40">
        <f t="shared" si="3"/>
        <v>0</v>
      </c>
      <c r="AH41" s="39">
        <v>1</v>
      </c>
      <c r="AI41" s="35" t="str">
        <f>+$J$41</f>
        <v>Estados Financieros</v>
      </c>
      <c r="AJ41" s="49">
        <v>68170101</v>
      </c>
      <c r="AK41" s="42"/>
      <c r="AL41" s="42"/>
      <c r="AM41" s="40">
        <f t="shared" si="4"/>
        <v>0</v>
      </c>
      <c r="AN41" s="40">
        <f t="shared" si="5"/>
        <v>0</v>
      </c>
      <c r="AO41" s="40">
        <f t="shared" si="6"/>
        <v>0</v>
      </c>
      <c r="AP41" s="43">
        <f t="shared" si="7"/>
        <v>0</v>
      </c>
      <c r="AQ41" s="39">
        <v>1</v>
      </c>
      <c r="AR41" s="35" t="str">
        <f>+$J$41</f>
        <v>Estados Financieros</v>
      </c>
      <c r="AS41" s="49">
        <v>68170101</v>
      </c>
      <c r="AT41" s="42"/>
      <c r="AU41" s="42"/>
      <c r="AV41" s="40">
        <f t="shared" si="8"/>
        <v>0</v>
      </c>
      <c r="AW41" s="40">
        <f t="shared" si="9"/>
        <v>0</v>
      </c>
      <c r="AX41" s="40">
        <f t="shared" si="10"/>
        <v>0</v>
      </c>
      <c r="AY41" s="40">
        <f t="shared" si="11"/>
        <v>0</v>
      </c>
      <c r="AZ41" s="39">
        <v>1</v>
      </c>
      <c r="BA41" s="35" t="str">
        <f>+$J$41</f>
        <v>Estados Financieros</v>
      </c>
      <c r="BB41" s="49">
        <v>68170101</v>
      </c>
      <c r="BC41" s="42"/>
      <c r="BD41" s="42"/>
      <c r="BE41" s="40">
        <f t="shared" si="12"/>
        <v>0</v>
      </c>
      <c r="BF41" s="40">
        <f t="shared" si="13"/>
        <v>0</v>
      </c>
      <c r="BG41" s="40">
        <f t="shared" si="14"/>
        <v>0</v>
      </c>
      <c r="BH41" s="40">
        <f t="shared" si="15"/>
        <v>0</v>
      </c>
      <c r="BI41" s="44">
        <f t="shared" si="16"/>
        <v>0</v>
      </c>
      <c r="BJ41" s="44">
        <f t="shared" si="17"/>
        <v>0</v>
      </c>
      <c r="BK41" s="44">
        <f t="shared" si="18"/>
        <v>0</v>
      </c>
      <c r="BL41" s="44">
        <f t="shared" si="19"/>
        <v>0</v>
      </c>
      <c r="BM41" s="44">
        <f t="shared" si="20"/>
        <v>0</v>
      </c>
      <c r="BN41" s="44">
        <f t="shared" si="21"/>
        <v>0</v>
      </c>
      <c r="BO41" s="44">
        <f t="shared" si="22"/>
        <v>0</v>
      </c>
      <c r="BP41" s="44">
        <f t="shared" si="23"/>
        <v>0</v>
      </c>
      <c r="BQ41" s="42"/>
    </row>
    <row r="42" spans="1:69" s="45" customFormat="1" ht="105" x14ac:dyDescent="0.25">
      <c r="A42" s="34">
        <v>11300</v>
      </c>
      <c r="B42" s="35" t="str">
        <f>+VLOOKUP(A42,'[1]TAB. REF. PA'!$A$4:$B$14,2,FALSE)</f>
        <v>Dirección de Gestión de Recursos Financieros de Salud</v>
      </c>
      <c r="C42" s="36" t="s">
        <v>160</v>
      </c>
      <c r="D42" s="35" t="s">
        <v>145</v>
      </c>
      <c r="E42" s="36" t="s">
        <v>590</v>
      </c>
      <c r="F42" s="35" t="s">
        <v>257</v>
      </c>
      <c r="G42" s="37" t="s">
        <v>124</v>
      </c>
      <c r="H42" s="36">
        <v>4</v>
      </c>
      <c r="I42" s="36" t="s">
        <v>591</v>
      </c>
      <c r="J42" s="35" t="s">
        <v>258</v>
      </c>
      <c r="K42" s="39">
        <v>0</v>
      </c>
      <c r="L42" s="40">
        <v>1</v>
      </c>
      <c r="M42" s="41" t="s">
        <v>46</v>
      </c>
      <c r="N42" s="41" t="s">
        <v>68</v>
      </c>
      <c r="O42" s="41" t="s">
        <v>21</v>
      </c>
      <c r="P42" s="41" t="s">
        <v>36</v>
      </c>
      <c r="Q42" s="41" t="s">
        <v>212</v>
      </c>
      <c r="R42" s="42"/>
      <c r="S42" s="41" t="s">
        <v>137</v>
      </c>
      <c r="T42" s="41" t="s">
        <v>99</v>
      </c>
      <c r="U42" s="39">
        <v>4</v>
      </c>
      <c r="V42" s="35" t="str">
        <f>+$J$42</f>
        <v>Informe</v>
      </c>
      <c r="W42" s="39">
        <v>0</v>
      </c>
      <c r="X42" s="34" t="s">
        <v>114</v>
      </c>
      <c r="Y42" s="39">
        <v>1</v>
      </c>
      <c r="Z42" s="35" t="str">
        <f>+$J$42</f>
        <v>Informe</v>
      </c>
      <c r="AA42" s="49">
        <v>0</v>
      </c>
      <c r="AB42" s="42"/>
      <c r="AC42" s="42"/>
      <c r="AD42" s="40">
        <f t="shared" si="0"/>
        <v>0</v>
      </c>
      <c r="AE42" s="40" t="e">
        <f t="shared" si="1"/>
        <v>#DIV/0!</v>
      </c>
      <c r="AF42" s="40">
        <f t="shared" si="2"/>
        <v>0</v>
      </c>
      <c r="AG42" s="40" t="e">
        <f t="shared" si="3"/>
        <v>#DIV/0!</v>
      </c>
      <c r="AH42" s="39">
        <v>1</v>
      </c>
      <c r="AI42" s="35" t="str">
        <f>+$J$42</f>
        <v>Informe</v>
      </c>
      <c r="AJ42" s="49">
        <v>0</v>
      </c>
      <c r="AK42" s="42"/>
      <c r="AL42" s="42"/>
      <c r="AM42" s="40">
        <f t="shared" si="4"/>
        <v>0</v>
      </c>
      <c r="AN42" s="40" t="e">
        <f t="shared" si="5"/>
        <v>#DIV/0!</v>
      </c>
      <c r="AO42" s="40">
        <f t="shared" si="6"/>
        <v>0</v>
      </c>
      <c r="AP42" s="43" t="e">
        <f t="shared" si="7"/>
        <v>#DIV/0!</v>
      </c>
      <c r="AQ42" s="39">
        <v>1</v>
      </c>
      <c r="AR42" s="35" t="str">
        <f>+$J$42</f>
        <v>Informe</v>
      </c>
      <c r="AS42" s="49">
        <v>0</v>
      </c>
      <c r="AT42" s="42"/>
      <c r="AU42" s="42"/>
      <c r="AV42" s="40">
        <f t="shared" si="8"/>
        <v>0</v>
      </c>
      <c r="AW42" s="40" t="e">
        <f t="shared" si="9"/>
        <v>#DIV/0!</v>
      </c>
      <c r="AX42" s="40">
        <f t="shared" si="10"/>
        <v>0</v>
      </c>
      <c r="AY42" s="40" t="e">
        <f t="shared" si="11"/>
        <v>#DIV/0!</v>
      </c>
      <c r="AZ42" s="39">
        <v>1</v>
      </c>
      <c r="BA42" s="35" t="str">
        <f>+$J$42</f>
        <v>Informe</v>
      </c>
      <c r="BB42" s="49">
        <v>0</v>
      </c>
      <c r="BC42" s="42"/>
      <c r="BD42" s="42"/>
      <c r="BE42" s="40">
        <f t="shared" si="12"/>
        <v>0</v>
      </c>
      <c r="BF42" s="40" t="e">
        <f t="shared" si="13"/>
        <v>#DIV/0!</v>
      </c>
      <c r="BG42" s="40">
        <f t="shared" si="14"/>
        <v>0</v>
      </c>
      <c r="BH42" s="40" t="e">
        <f t="shared" si="15"/>
        <v>#DIV/0!</v>
      </c>
      <c r="BI42" s="44">
        <f t="shared" si="16"/>
        <v>0</v>
      </c>
      <c r="BJ42" s="44" t="str">
        <f t="shared" si="17"/>
        <v>No Prog ni Ejec</v>
      </c>
      <c r="BK42" s="44">
        <f t="shared" si="18"/>
        <v>0</v>
      </c>
      <c r="BL42" s="44" t="str">
        <f t="shared" si="19"/>
        <v>No Prog ni Ejec</v>
      </c>
      <c r="BM42" s="44">
        <f t="shared" si="20"/>
        <v>0</v>
      </c>
      <c r="BN42" s="44" t="str">
        <f t="shared" si="21"/>
        <v>No Prog ni Ejec</v>
      </c>
      <c r="BO42" s="44">
        <f t="shared" si="22"/>
        <v>0</v>
      </c>
      <c r="BP42" s="44" t="str">
        <f t="shared" si="23"/>
        <v>No Prog ni Ejec</v>
      </c>
      <c r="BQ42" s="42"/>
    </row>
    <row r="43" spans="1:69" s="45" customFormat="1" ht="105" x14ac:dyDescent="0.25">
      <c r="A43" s="34">
        <v>11300</v>
      </c>
      <c r="B43" s="35" t="str">
        <f>+VLOOKUP(A43,'[1]TAB. REF. PA'!$A$4:$B$14,2,FALSE)</f>
        <v>Dirección de Gestión de Recursos Financieros de Salud</v>
      </c>
      <c r="C43" s="36" t="s">
        <v>160</v>
      </c>
      <c r="D43" s="35" t="s">
        <v>145</v>
      </c>
      <c r="E43" s="36" t="s">
        <v>592</v>
      </c>
      <c r="F43" s="35" t="s">
        <v>571</v>
      </c>
      <c r="G43" s="37" t="s">
        <v>123</v>
      </c>
      <c r="H43" s="36">
        <v>1</v>
      </c>
      <c r="I43" s="36" t="s">
        <v>593</v>
      </c>
      <c r="J43" s="35" t="s">
        <v>571</v>
      </c>
      <c r="K43" s="39">
        <v>580945500</v>
      </c>
      <c r="L43" s="40">
        <v>1</v>
      </c>
      <c r="M43" s="41" t="s">
        <v>46</v>
      </c>
      <c r="N43" s="41" t="s">
        <v>68</v>
      </c>
      <c r="O43" s="41" t="s">
        <v>21</v>
      </c>
      <c r="P43" s="41" t="s">
        <v>36</v>
      </c>
      <c r="Q43" s="41" t="s">
        <v>212</v>
      </c>
      <c r="R43" s="42"/>
      <c r="S43" s="41" t="s">
        <v>379</v>
      </c>
      <c r="T43" s="41" t="s">
        <v>99</v>
      </c>
      <c r="U43" s="40">
        <v>1</v>
      </c>
      <c r="V43" s="35" t="str">
        <f>+$J$43</f>
        <v>Administración y Custodia del Portafolio de Inversión</v>
      </c>
      <c r="W43" s="39">
        <v>580945500</v>
      </c>
      <c r="X43" s="34" t="s">
        <v>117</v>
      </c>
      <c r="Y43" s="50">
        <v>0.25</v>
      </c>
      <c r="Z43" s="35" t="str">
        <f>+$J$43</f>
        <v>Administración y Custodia del Portafolio de Inversión</v>
      </c>
      <c r="AA43" s="49">
        <v>0</v>
      </c>
      <c r="AB43" s="42"/>
      <c r="AC43" s="42"/>
      <c r="AD43" s="40">
        <f t="shared" si="0"/>
        <v>0</v>
      </c>
      <c r="AE43" s="40" t="e">
        <f t="shared" si="1"/>
        <v>#DIV/0!</v>
      </c>
      <c r="AF43" s="40">
        <f t="shared" si="2"/>
        <v>0</v>
      </c>
      <c r="AG43" s="40">
        <f t="shared" si="3"/>
        <v>0</v>
      </c>
      <c r="AH43" s="50">
        <v>0.25</v>
      </c>
      <c r="AI43" s="35" t="str">
        <f>+$J$43</f>
        <v>Administración y Custodia del Portafolio de Inversión</v>
      </c>
      <c r="AJ43" s="49">
        <v>193648499.99999997</v>
      </c>
      <c r="AK43" s="42"/>
      <c r="AL43" s="42"/>
      <c r="AM43" s="40">
        <f t="shared" si="4"/>
        <v>0</v>
      </c>
      <c r="AN43" s="40">
        <f t="shared" si="5"/>
        <v>0</v>
      </c>
      <c r="AO43" s="40">
        <f t="shared" si="6"/>
        <v>0</v>
      </c>
      <c r="AP43" s="43">
        <f t="shared" si="7"/>
        <v>0</v>
      </c>
      <c r="AQ43" s="50">
        <v>0.25</v>
      </c>
      <c r="AR43" s="35" t="str">
        <f>+$J$43</f>
        <v>Administración y Custodia del Portafolio de Inversión</v>
      </c>
      <c r="AS43" s="49">
        <v>193648499.99999997</v>
      </c>
      <c r="AT43" s="42"/>
      <c r="AU43" s="42"/>
      <c r="AV43" s="40">
        <f t="shared" si="8"/>
        <v>0</v>
      </c>
      <c r="AW43" s="40">
        <f t="shared" si="9"/>
        <v>0</v>
      </c>
      <c r="AX43" s="40">
        <f t="shared" si="10"/>
        <v>0</v>
      </c>
      <c r="AY43" s="40">
        <f t="shared" si="11"/>
        <v>0</v>
      </c>
      <c r="AZ43" s="50">
        <v>0.25</v>
      </c>
      <c r="BA43" s="35" t="str">
        <f>+$J$43</f>
        <v>Administración y Custodia del Portafolio de Inversión</v>
      </c>
      <c r="BB43" s="49">
        <v>193648499.99999997</v>
      </c>
      <c r="BC43" s="42"/>
      <c r="BD43" s="42"/>
      <c r="BE43" s="40">
        <f t="shared" si="12"/>
        <v>0</v>
      </c>
      <c r="BF43" s="40">
        <f t="shared" si="13"/>
        <v>0</v>
      </c>
      <c r="BG43" s="40">
        <f t="shared" si="14"/>
        <v>0</v>
      </c>
      <c r="BH43" s="40">
        <f t="shared" si="15"/>
        <v>0</v>
      </c>
      <c r="BI43" s="44">
        <f t="shared" si="16"/>
        <v>0</v>
      </c>
      <c r="BJ43" s="44" t="str">
        <f t="shared" si="17"/>
        <v>No Prog ni Ejec</v>
      </c>
      <c r="BK43" s="44">
        <f t="shared" si="18"/>
        <v>0</v>
      </c>
      <c r="BL43" s="44">
        <f t="shared" si="19"/>
        <v>0</v>
      </c>
      <c r="BM43" s="44">
        <f t="shared" si="20"/>
        <v>0</v>
      </c>
      <c r="BN43" s="44">
        <f t="shared" si="21"/>
        <v>0</v>
      </c>
      <c r="BO43" s="44">
        <f t="shared" si="22"/>
        <v>0</v>
      </c>
      <c r="BP43" s="44">
        <f t="shared" si="23"/>
        <v>0</v>
      </c>
      <c r="BQ43" s="42"/>
    </row>
    <row r="44" spans="1:69" s="45" customFormat="1" ht="105" x14ac:dyDescent="0.25">
      <c r="A44" s="34">
        <v>11400</v>
      </c>
      <c r="B44" s="35" t="str">
        <f>+VLOOKUP(A44,'[1]TAB. REF. PA'!$A$4:$B$14,2,FALSE)</f>
        <v>Dirección de Liquidaciones y Garantías</v>
      </c>
      <c r="C44" s="36" t="s">
        <v>183</v>
      </c>
      <c r="D44" s="35" t="s">
        <v>153</v>
      </c>
      <c r="E44" s="36" t="s">
        <v>185</v>
      </c>
      <c r="F44" s="35" t="s">
        <v>133</v>
      </c>
      <c r="G44" s="37" t="s">
        <v>124</v>
      </c>
      <c r="H44" s="36">
        <v>4</v>
      </c>
      <c r="I44" s="36" t="s">
        <v>316</v>
      </c>
      <c r="J44" s="38" t="s">
        <v>24</v>
      </c>
      <c r="K44" s="39">
        <v>0</v>
      </c>
      <c r="L44" s="40">
        <v>1</v>
      </c>
      <c r="M44" s="41" t="s">
        <v>51</v>
      </c>
      <c r="N44" s="41" t="s">
        <v>68</v>
      </c>
      <c r="O44" s="41" t="s">
        <v>21</v>
      </c>
      <c r="P44" s="41" t="s">
        <v>36</v>
      </c>
      <c r="Q44" s="41" t="s">
        <v>75</v>
      </c>
      <c r="R44" s="42"/>
      <c r="S44" s="41" t="s">
        <v>631</v>
      </c>
      <c r="T44" s="41" t="s">
        <v>98</v>
      </c>
      <c r="U44" s="34">
        <v>4</v>
      </c>
      <c r="V44" s="35" t="str">
        <f>+$J$11</f>
        <v>Reportar el cumplimiento del Plan de Acción de la Dependencia</v>
      </c>
      <c r="W44" s="39">
        <v>0</v>
      </c>
      <c r="X44" s="34" t="s">
        <v>117</v>
      </c>
      <c r="Y44" s="34">
        <v>1</v>
      </c>
      <c r="Z44" s="35" t="str">
        <f>+$J$11</f>
        <v>Reportar el cumplimiento del Plan de Acción de la Dependencia</v>
      </c>
      <c r="AA44" s="39">
        <v>0</v>
      </c>
      <c r="AB44" s="42"/>
      <c r="AC44" s="42"/>
      <c r="AD44" s="40">
        <f t="shared" si="0"/>
        <v>0</v>
      </c>
      <c r="AE44" s="40" t="e">
        <f t="shared" si="1"/>
        <v>#DIV/0!</v>
      </c>
      <c r="AF44" s="40">
        <f t="shared" si="2"/>
        <v>0</v>
      </c>
      <c r="AG44" s="40" t="e">
        <f t="shared" si="3"/>
        <v>#DIV/0!</v>
      </c>
      <c r="AH44" s="34">
        <v>1</v>
      </c>
      <c r="AI44" s="35" t="str">
        <f>+$J$11</f>
        <v>Reportar el cumplimiento del Plan de Acción de la Dependencia</v>
      </c>
      <c r="AJ44" s="39">
        <v>0</v>
      </c>
      <c r="AK44" s="42"/>
      <c r="AL44" s="42"/>
      <c r="AM44" s="40">
        <f t="shared" si="4"/>
        <v>0</v>
      </c>
      <c r="AN44" s="40" t="e">
        <f t="shared" si="5"/>
        <v>#DIV/0!</v>
      </c>
      <c r="AO44" s="40">
        <f t="shared" si="6"/>
        <v>0</v>
      </c>
      <c r="AP44" s="43" t="e">
        <f t="shared" si="7"/>
        <v>#DIV/0!</v>
      </c>
      <c r="AQ44" s="34">
        <v>1</v>
      </c>
      <c r="AR44" s="35" t="str">
        <f>+$J$11</f>
        <v>Reportar el cumplimiento del Plan de Acción de la Dependencia</v>
      </c>
      <c r="AS44" s="39">
        <v>0</v>
      </c>
      <c r="AT44" s="42"/>
      <c r="AU44" s="42"/>
      <c r="AV44" s="40">
        <f t="shared" si="8"/>
        <v>0</v>
      </c>
      <c r="AW44" s="40" t="e">
        <f t="shared" si="9"/>
        <v>#DIV/0!</v>
      </c>
      <c r="AX44" s="40">
        <f t="shared" si="10"/>
        <v>0</v>
      </c>
      <c r="AY44" s="40" t="e">
        <f t="shared" si="11"/>
        <v>#DIV/0!</v>
      </c>
      <c r="AZ44" s="36">
        <v>1</v>
      </c>
      <c r="BA44" s="35" t="str">
        <f>+$J$11</f>
        <v>Reportar el cumplimiento del Plan de Acción de la Dependencia</v>
      </c>
      <c r="BB44" s="39">
        <v>0</v>
      </c>
      <c r="BC44" s="42"/>
      <c r="BD44" s="42"/>
      <c r="BE44" s="40">
        <f t="shared" si="12"/>
        <v>0</v>
      </c>
      <c r="BF44" s="40" t="e">
        <f t="shared" si="13"/>
        <v>#DIV/0!</v>
      </c>
      <c r="BG44" s="40">
        <f t="shared" si="14"/>
        <v>0</v>
      </c>
      <c r="BH44" s="40" t="e">
        <f t="shared" si="15"/>
        <v>#DIV/0!</v>
      </c>
      <c r="BI44" s="44">
        <f t="shared" si="16"/>
        <v>0</v>
      </c>
      <c r="BJ44" s="44" t="str">
        <f t="shared" si="17"/>
        <v>No Prog ni Ejec</v>
      </c>
      <c r="BK44" s="44">
        <f t="shared" si="18"/>
        <v>0</v>
      </c>
      <c r="BL44" s="44" t="str">
        <f t="shared" si="19"/>
        <v>No Prog ni Ejec</v>
      </c>
      <c r="BM44" s="44">
        <f t="shared" si="20"/>
        <v>0</v>
      </c>
      <c r="BN44" s="44" t="str">
        <f t="shared" si="21"/>
        <v>No Prog ni Ejec</v>
      </c>
      <c r="BO44" s="44">
        <f t="shared" si="22"/>
        <v>0</v>
      </c>
      <c r="BP44" s="44" t="str">
        <f t="shared" si="23"/>
        <v>No Prog ni Ejec</v>
      </c>
      <c r="BQ44" s="42"/>
    </row>
    <row r="45" spans="1:69" s="45" customFormat="1" ht="105" x14ac:dyDescent="0.25">
      <c r="A45" s="34">
        <v>11400</v>
      </c>
      <c r="B45" s="35" t="str">
        <f>+VLOOKUP(A45,'[1]TAB. REF. PA'!$A$4:$B$14,2,FALSE)</f>
        <v>Dirección de Liquidaciones y Garantías</v>
      </c>
      <c r="C45" s="36" t="s">
        <v>184</v>
      </c>
      <c r="D45" s="35" t="s">
        <v>256</v>
      </c>
      <c r="E45" s="36" t="s">
        <v>186</v>
      </c>
      <c r="F45" s="35" t="s">
        <v>159</v>
      </c>
      <c r="G45" s="37" t="s">
        <v>123</v>
      </c>
      <c r="H45" s="46">
        <v>1</v>
      </c>
      <c r="I45" s="36" t="s">
        <v>317</v>
      </c>
      <c r="J45" s="38" t="s">
        <v>156</v>
      </c>
      <c r="K45" s="39">
        <v>0</v>
      </c>
      <c r="L45" s="40">
        <v>1</v>
      </c>
      <c r="M45" s="41" t="s">
        <v>51</v>
      </c>
      <c r="N45" s="41" t="s">
        <v>68</v>
      </c>
      <c r="O45" s="41" t="s">
        <v>21</v>
      </c>
      <c r="P45" s="41" t="s">
        <v>36</v>
      </c>
      <c r="Q45" s="41" t="s">
        <v>75</v>
      </c>
      <c r="R45" s="42"/>
      <c r="S45" s="41" t="s">
        <v>672</v>
      </c>
      <c r="T45" s="41" t="s">
        <v>98</v>
      </c>
      <c r="U45" s="40">
        <v>1</v>
      </c>
      <c r="V45" s="35" t="str">
        <f>+$J$12</f>
        <v>Formular los proceso y procedimientos en el marco del MIPG</v>
      </c>
      <c r="W45" s="39">
        <v>0</v>
      </c>
      <c r="X45" s="34" t="s">
        <v>117</v>
      </c>
      <c r="Y45" s="40">
        <v>0.25</v>
      </c>
      <c r="Z45" s="35" t="str">
        <f>+$J$12</f>
        <v>Formular los proceso y procedimientos en el marco del MIPG</v>
      </c>
      <c r="AA45" s="39">
        <v>0</v>
      </c>
      <c r="AB45" s="42"/>
      <c r="AC45" s="42"/>
      <c r="AD45" s="40">
        <f t="shared" si="0"/>
        <v>0</v>
      </c>
      <c r="AE45" s="40" t="e">
        <f t="shared" si="1"/>
        <v>#DIV/0!</v>
      </c>
      <c r="AF45" s="40">
        <f t="shared" si="2"/>
        <v>0</v>
      </c>
      <c r="AG45" s="40" t="e">
        <f t="shared" si="3"/>
        <v>#DIV/0!</v>
      </c>
      <c r="AH45" s="40">
        <v>0.25</v>
      </c>
      <c r="AI45" s="35" t="str">
        <f>+$J$12</f>
        <v>Formular los proceso y procedimientos en el marco del MIPG</v>
      </c>
      <c r="AJ45" s="39">
        <v>0</v>
      </c>
      <c r="AK45" s="42"/>
      <c r="AL45" s="42"/>
      <c r="AM45" s="40">
        <f t="shared" si="4"/>
        <v>0</v>
      </c>
      <c r="AN45" s="40" t="e">
        <f t="shared" si="5"/>
        <v>#DIV/0!</v>
      </c>
      <c r="AO45" s="40">
        <f t="shared" si="6"/>
        <v>0</v>
      </c>
      <c r="AP45" s="43" t="e">
        <f t="shared" si="7"/>
        <v>#DIV/0!</v>
      </c>
      <c r="AQ45" s="40">
        <v>0.25</v>
      </c>
      <c r="AR45" s="35" t="str">
        <f>+$J$12</f>
        <v>Formular los proceso y procedimientos en el marco del MIPG</v>
      </c>
      <c r="AS45" s="39">
        <v>0</v>
      </c>
      <c r="AT45" s="42"/>
      <c r="AU45" s="42"/>
      <c r="AV45" s="40">
        <f t="shared" si="8"/>
        <v>0</v>
      </c>
      <c r="AW45" s="40" t="e">
        <f t="shared" si="9"/>
        <v>#DIV/0!</v>
      </c>
      <c r="AX45" s="40">
        <f t="shared" si="10"/>
        <v>0</v>
      </c>
      <c r="AY45" s="40" t="e">
        <f t="shared" si="11"/>
        <v>#DIV/0!</v>
      </c>
      <c r="AZ45" s="47">
        <v>0.25</v>
      </c>
      <c r="BA45" s="35" t="str">
        <f>+$J$12</f>
        <v>Formular los proceso y procedimientos en el marco del MIPG</v>
      </c>
      <c r="BB45" s="39">
        <v>0</v>
      </c>
      <c r="BC45" s="42"/>
      <c r="BD45" s="42"/>
      <c r="BE45" s="40">
        <f t="shared" si="12"/>
        <v>0</v>
      </c>
      <c r="BF45" s="40" t="e">
        <f t="shared" si="13"/>
        <v>#DIV/0!</v>
      </c>
      <c r="BG45" s="40">
        <f t="shared" si="14"/>
        <v>0</v>
      </c>
      <c r="BH45" s="40" t="e">
        <f t="shared" si="15"/>
        <v>#DIV/0!</v>
      </c>
      <c r="BI45" s="44">
        <f t="shared" si="16"/>
        <v>0</v>
      </c>
      <c r="BJ45" s="44" t="str">
        <f t="shared" si="17"/>
        <v>No Prog ni Ejec</v>
      </c>
      <c r="BK45" s="44">
        <f t="shared" si="18"/>
        <v>0</v>
      </c>
      <c r="BL45" s="44" t="str">
        <f t="shared" si="19"/>
        <v>No Prog ni Ejec</v>
      </c>
      <c r="BM45" s="44">
        <f t="shared" si="20"/>
        <v>0</v>
      </c>
      <c r="BN45" s="44" t="str">
        <f t="shared" si="21"/>
        <v>No Prog ni Ejec</v>
      </c>
      <c r="BO45" s="44">
        <f t="shared" si="22"/>
        <v>0</v>
      </c>
      <c r="BP45" s="44" t="str">
        <f t="shared" si="23"/>
        <v>No Prog ni Ejec</v>
      </c>
      <c r="BQ45" s="42"/>
    </row>
    <row r="46" spans="1:69" s="45" customFormat="1" ht="105" x14ac:dyDescent="0.25">
      <c r="A46" s="34">
        <v>11400</v>
      </c>
      <c r="B46" s="35" t="str">
        <f>+VLOOKUP(A46,'[1]TAB. REF. PA'!$A$4:$B$14,2,FALSE)</f>
        <v>Dirección de Liquidaciones y Garantías</v>
      </c>
      <c r="C46" s="36" t="s">
        <v>184</v>
      </c>
      <c r="D46" s="35" t="s">
        <v>256</v>
      </c>
      <c r="E46" s="36" t="s">
        <v>187</v>
      </c>
      <c r="F46" s="35" t="s">
        <v>127</v>
      </c>
      <c r="G46" s="37" t="s">
        <v>124</v>
      </c>
      <c r="H46" s="36">
        <v>4</v>
      </c>
      <c r="I46" s="36" t="s">
        <v>318</v>
      </c>
      <c r="J46" s="41" t="s">
        <v>128</v>
      </c>
      <c r="K46" s="39">
        <v>0</v>
      </c>
      <c r="L46" s="40">
        <v>1</v>
      </c>
      <c r="M46" s="41" t="s">
        <v>51</v>
      </c>
      <c r="N46" s="41" t="s">
        <v>68</v>
      </c>
      <c r="O46" s="41" t="s">
        <v>21</v>
      </c>
      <c r="P46" s="41" t="s">
        <v>36</v>
      </c>
      <c r="Q46" s="41" t="s">
        <v>75</v>
      </c>
      <c r="R46" s="42"/>
      <c r="S46" s="41" t="s">
        <v>570</v>
      </c>
      <c r="T46" s="41" t="s">
        <v>98</v>
      </c>
      <c r="U46" s="47">
        <v>1</v>
      </c>
      <c r="V46" s="35" t="str">
        <f>+$J$13</f>
        <v>Remitir informes trimestrales de los indicadores formulados y las acciones de mejoras</v>
      </c>
      <c r="W46" s="39">
        <v>0</v>
      </c>
      <c r="X46" s="34" t="s">
        <v>117</v>
      </c>
      <c r="Y46" s="39">
        <v>0</v>
      </c>
      <c r="Z46" s="35" t="str">
        <f>+$J$13</f>
        <v>Remitir informes trimestrales de los indicadores formulados y las acciones de mejoras</v>
      </c>
      <c r="AA46" s="39">
        <v>0</v>
      </c>
      <c r="AB46" s="42"/>
      <c r="AC46" s="42"/>
      <c r="AD46" s="40" t="e">
        <f t="shared" si="0"/>
        <v>#DIV/0!</v>
      </c>
      <c r="AE46" s="40" t="e">
        <f t="shared" si="1"/>
        <v>#DIV/0!</v>
      </c>
      <c r="AF46" s="40">
        <f t="shared" si="2"/>
        <v>0</v>
      </c>
      <c r="AG46" s="40" t="e">
        <f t="shared" si="3"/>
        <v>#DIV/0!</v>
      </c>
      <c r="AH46" s="39">
        <v>0</v>
      </c>
      <c r="AI46" s="35" t="str">
        <f>+$J$13</f>
        <v>Remitir informes trimestrales de los indicadores formulados y las acciones de mejoras</v>
      </c>
      <c r="AJ46" s="39">
        <v>0</v>
      </c>
      <c r="AK46" s="42"/>
      <c r="AL46" s="42"/>
      <c r="AM46" s="40" t="e">
        <f t="shared" si="4"/>
        <v>#DIV/0!</v>
      </c>
      <c r="AN46" s="40" t="e">
        <f t="shared" si="5"/>
        <v>#DIV/0!</v>
      </c>
      <c r="AO46" s="40">
        <f t="shared" si="6"/>
        <v>0</v>
      </c>
      <c r="AP46" s="43" t="e">
        <f t="shared" si="7"/>
        <v>#DIV/0!</v>
      </c>
      <c r="AQ46" s="39">
        <v>0</v>
      </c>
      <c r="AR46" s="35" t="str">
        <f>+$J$13</f>
        <v>Remitir informes trimestrales de los indicadores formulados y las acciones de mejoras</v>
      </c>
      <c r="AS46" s="39">
        <v>0</v>
      </c>
      <c r="AT46" s="42"/>
      <c r="AU46" s="42"/>
      <c r="AV46" s="40" t="e">
        <f t="shared" si="8"/>
        <v>#DIV/0!</v>
      </c>
      <c r="AW46" s="40" t="e">
        <f t="shared" si="9"/>
        <v>#DIV/0!</v>
      </c>
      <c r="AX46" s="40">
        <f t="shared" si="10"/>
        <v>0</v>
      </c>
      <c r="AY46" s="40" t="e">
        <f t="shared" si="11"/>
        <v>#DIV/0!</v>
      </c>
      <c r="AZ46" s="47">
        <v>1</v>
      </c>
      <c r="BA46" s="35" t="str">
        <f>+$J$13</f>
        <v>Remitir informes trimestrales de los indicadores formulados y las acciones de mejoras</v>
      </c>
      <c r="BB46" s="39">
        <v>0</v>
      </c>
      <c r="BC46" s="42"/>
      <c r="BD46" s="42"/>
      <c r="BE46" s="40">
        <f t="shared" si="12"/>
        <v>0</v>
      </c>
      <c r="BF46" s="40" t="e">
        <f t="shared" si="13"/>
        <v>#DIV/0!</v>
      </c>
      <c r="BG46" s="40">
        <f t="shared" si="14"/>
        <v>0</v>
      </c>
      <c r="BH46" s="40" t="e">
        <f t="shared" si="15"/>
        <v>#DIV/0!</v>
      </c>
      <c r="BI46" s="44" t="str">
        <f t="shared" si="16"/>
        <v>No Prog ni Ejec</v>
      </c>
      <c r="BJ46" s="44" t="str">
        <f t="shared" si="17"/>
        <v>No Prog ni Ejec</v>
      </c>
      <c r="BK46" s="44" t="str">
        <f t="shared" si="18"/>
        <v>No Prog ni Ejec</v>
      </c>
      <c r="BL46" s="44" t="str">
        <f t="shared" si="19"/>
        <v>No Prog ni Ejec</v>
      </c>
      <c r="BM46" s="44" t="str">
        <f t="shared" si="20"/>
        <v>No Prog ni Ejec</v>
      </c>
      <c r="BN46" s="44" t="str">
        <f t="shared" si="21"/>
        <v>No Prog ni Ejec</v>
      </c>
      <c r="BO46" s="44">
        <f t="shared" si="22"/>
        <v>0</v>
      </c>
      <c r="BP46" s="44" t="str">
        <f t="shared" si="23"/>
        <v>No Prog ni Ejec</v>
      </c>
      <c r="BQ46" s="42"/>
    </row>
    <row r="47" spans="1:69" s="45" customFormat="1" ht="105" x14ac:dyDescent="0.25">
      <c r="A47" s="34">
        <v>11400</v>
      </c>
      <c r="B47" s="35" t="str">
        <f>+VLOOKUP(A47,'[1]TAB. REF. PA'!$A$4:$B$14,2,FALSE)</f>
        <v>Dirección de Liquidaciones y Garantías</v>
      </c>
      <c r="C47" s="36" t="s">
        <v>188</v>
      </c>
      <c r="D47" s="35" t="s">
        <v>144</v>
      </c>
      <c r="E47" s="36" t="s">
        <v>192</v>
      </c>
      <c r="F47" s="35" t="s">
        <v>189</v>
      </c>
      <c r="G47" s="37" t="s">
        <v>124</v>
      </c>
      <c r="H47" s="52">
        <v>48</v>
      </c>
      <c r="I47" s="36" t="s">
        <v>237</v>
      </c>
      <c r="J47" s="38" t="s">
        <v>190</v>
      </c>
      <c r="K47" s="39">
        <v>100516376</v>
      </c>
      <c r="L47" s="40">
        <v>1</v>
      </c>
      <c r="M47" s="41" t="s">
        <v>46</v>
      </c>
      <c r="N47" s="41" t="s">
        <v>68</v>
      </c>
      <c r="O47" s="41" t="s">
        <v>21</v>
      </c>
      <c r="P47" s="41" t="s">
        <v>36</v>
      </c>
      <c r="Q47" s="41" t="s">
        <v>216</v>
      </c>
      <c r="R47" s="42"/>
      <c r="S47" s="41" t="s">
        <v>209</v>
      </c>
      <c r="T47" s="41" t="s">
        <v>99</v>
      </c>
      <c r="U47" s="53">
        <f t="shared" ref="U47:U57" si="24">+H47</f>
        <v>48</v>
      </c>
      <c r="V47" s="35" t="str">
        <f>+$J$47</f>
        <v>No. de Procesos de Compensación Ejecutados</v>
      </c>
      <c r="W47" s="39">
        <f>+K47</f>
        <v>100516376</v>
      </c>
      <c r="X47" s="34" t="s">
        <v>117</v>
      </c>
      <c r="Y47" s="36">
        <v>12</v>
      </c>
      <c r="Z47" s="35" t="str">
        <f>+$J$47</f>
        <v>No. de Procesos de Compensación Ejecutados</v>
      </c>
      <c r="AA47" s="39">
        <v>43249020</v>
      </c>
      <c r="AB47" s="42"/>
      <c r="AC47" s="42"/>
      <c r="AD47" s="40">
        <f t="shared" si="0"/>
        <v>0</v>
      </c>
      <c r="AE47" s="40">
        <f t="shared" si="1"/>
        <v>0</v>
      </c>
      <c r="AF47" s="40">
        <f t="shared" si="2"/>
        <v>0</v>
      </c>
      <c r="AG47" s="40">
        <f t="shared" si="3"/>
        <v>0</v>
      </c>
      <c r="AH47" s="36">
        <v>12</v>
      </c>
      <c r="AI47" s="35" t="str">
        <f>+$J$47</f>
        <v>No. de Procesos de Compensación Ejecutados</v>
      </c>
      <c r="AJ47" s="39">
        <v>12240000</v>
      </c>
      <c r="AK47" s="42"/>
      <c r="AL47" s="42"/>
      <c r="AM47" s="40">
        <f t="shared" si="4"/>
        <v>0</v>
      </c>
      <c r="AN47" s="40">
        <f t="shared" si="5"/>
        <v>0</v>
      </c>
      <c r="AO47" s="40">
        <f t="shared" si="6"/>
        <v>0</v>
      </c>
      <c r="AP47" s="43">
        <f t="shared" si="7"/>
        <v>0</v>
      </c>
      <c r="AQ47" s="36">
        <v>12</v>
      </c>
      <c r="AR47" s="35" t="str">
        <f>+$J$47</f>
        <v>No. de Procesos de Compensación Ejecutados</v>
      </c>
      <c r="AS47" s="39">
        <v>17376839</v>
      </c>
      <c r="AT47" s="42"/>
      <c r="AU47" s="42"/>
      <c r="AV47" s="40">
        <f t="shared" si="8"/>
        <v>0</v>
      </c>
      <c r="AW47" s="40">
        <f t="shared" si="9"/>
        <v>0</v>
      </c>
      <c r="AX47" s="40">
        <f t="shared" si="10"/>
        <v>0</v>
      </c>
      <c r="AY47" s="40">
        <f t="shared" si="11"/>
        <v>0</v>
      </c>
      <c r="AZ47" s="36">
        <v>12</v>
      </c>
      <c r="BA47" s="35" t="str">
        <f>+$J$47</f>
        <v>No. de Procesos de Compensación Ejecutados</v>
      </c>
      <c r="BB47" s="39">
        <v>27650517</v>
      </c>
      <c r="BC47" s="42"/>
      <c r="BD47" s="42"/>
      <c r="BE47" s="40">
        <f t="shared" si="12"/>
        <v>0</v>
      </c>
      <c r="BF47" s="40">
        <f t="shared" si="13"/>
        <v>0</v>
      </c>
      <c r="BG47" s="40">
        <f t="shared" si="14"/>
        <v>0</v>
      </c>
      <c r="BH47" s="40">
        <f t="shared" si="15"/>
        <v>0</v>
      </c>
      <c r="BI47" s="44">
        <f t="shared" si="16"/>
        <v>0</v>
      </c>
      <c r="BJ47" s="44">
        <f t="shared" si="17"/>
        <v>0</v>
      </c>
      <c r="BK47" s="44">
        <f t="shared" si="18"/>
        <v>0</v>
      </c>
      <c r="BL47" s="44">
        <f t="shared" si="19"/>
        <v>0</v>
      </c>
      <c r="BM47" s="44">
        <f t="shared" si="20"/>
        <v>0</v>
      </c>
      <c r="BN47" s="44">
        <f t="shared" si="21"/>
        <v>0</v>
      </c>
      <c r="BO47" s="44">
        <f t="shared" si="22"/>
        <v>0</v>
      </c>
      <c r="BP47" s="44">
        <f t="shared" si="23"/>
        <v>0</v>
      </c>
      <c r="BQ47" s="42"/>
    </row>
    <row r="48" spans="1:69" s="45" customFormat="1" ht="105" x14ac:dyDescent="0.25">
      <c r="A48" s="34">
        <v>11400</v>
      </c>
      <c r="B48" s="35" t="str">
        <f>+VLOOKUP(A48,'[1]TAB. REF. PA'!$A$4:$B$14,2,FALSE)</f>
        <v>Dirección de Liquidaciones y Garantías</v>
      </c>
      <c r="C48" s="36" t="s">
        <v>188</v>
      </c>
      <c r="D48" s="35" t="s">
        <v>144</v>
      </c>
      <c r="E48" s="36" t="s">
        <v>479</v>
      </c>
      <c r="F48" s="35" t="s">
        <v>191</v>
      </c>
      <c r="G48" s="37" t="s">
        <v>124</v>
      </c>
      <c r="H48" s="36">
        <v>12</v>
      </c>
      <c r="I48" s="36" t="s">
        <v>480</v>
      </c>
      <c r="J48" s="38" t="s">
        <v>597</v>
      </c>
      <c r="K48" s="39">
        <v>0</v>
      </c>
      <c r="L48" s="40">
        <v>1</v>
      </c>
      <c r="M48" s="41" t="s">
        <v>46</v>
      </c>
      <c r="N48" s="41" t="s">
        <v>68</v>
      </c>
      <c r="O48" s="41" t="s">
        <v>21</v>
      </c>
      <c r="P48" s="41" t="s">
        <v>36</v>
      </c>
      <c r="Q48" s="41" t="s">
        <v>223</v>
      </c>
      <c r="R48" s="42"/>
      <c r="S48" s="41" t="s">
        <v>231</v>
      </c>
      <c r="T48" s="41" t="s">
        <v>99</v>
      </c>
      <c r="U48" s="53">
        <f t="shared" si="24"/>
        <v>12</v>
      </c>
      <c r="V48" s="35" t="str">
        <f>+$J$48</f>
        <v>No. de Procesos de LMA Ejecutados</v>
      </c>
      <c r="W48" s="39">
        <v>0</v>
      </c>
      <c r="X48" s="34" t="s">
        <v>117</v>
      </c>
      <c r="Y48" s="53">
        <v>3</v>
      </c>
      <c r="Z48" s="35" t="str">
        <f>+$J$48</f>
        <v>No. de Procesos de LMA Ejecutados</v>
      </c>
      <c r="AA48" s="39">
        <v>0</v>
      </c>
      <c r="AB48" s="42"/>
      <c r="AC48" s="42"/>
      <c r="AD48" s="40">
        <f t="shared" si="0"/>
        <v>0</v>
      </c>
      <c r="AE48" s="40" t="e">
        <f t="shared" si="1"/>
        <v>#DIV/0!</v>
      </c>
      <c r="AF48" s="40">
        <f t="shared" si="2"/>
        <v>0</v>
      </c>
      <c r="AG48" s="40" t="e">
        <f t="shared" si="3"/>
        <v>#DIV/0!</v>
      </c>
      <c r="AH48" s="53">
        <v>3</v>
      </c>
      <c r="AI48" s="35" t="str">
        <f>+$J$48</f>
        <v>No. de Procesos de LMA Ejecutados</v>
      </c>
      <c r="AJ48" s="39">
        <v>0</v>
      </c>
      <c r="AK48" s="42"/>
      <c r="AL48" s="42"/>
      <c r="AM48" s="40">
        <f t="shared" si="4"/>
        <v>0</v>
      </c>
      <c r="AN48" s="40" t="e">
        <f t="shared" si="5"/>
        <v>#DIV/0!</v>
      </c>
      <c r="AO48" s="40">
        <f t="shared" si="6"/>
        <v>0</v>
      </c>
      <c r="AP48" s="43" t="e">
        <f t="shared" si="7"/>
        <v>#DIV/0!</v>
      </c>
      <c r="AQ48" s="53">
        <v>3</v>
      </c>
      <c r="AR48" s="35" t="str">
        <f>+$J$48</f>
        <v>No. de Procesos de LMA Ejecutados</v>
      </c>
      <c r="AS48" s="39">
        <v>0</v>
      </c>
      <c r="AT48" s="42"/>
      <c r="AU48" s="42"/>
      <c r="AV48" s="40">
        <f t="shared" si="8"/>
        <v>0</v>
      </c>
      <c r="AW48" s="40" t="e">
        <f t="shared" si="9"/>
        <v>#DIV/0!</v>
      </c>
      <c r="AX48" s="40">
        <f t="shared" si="10"/>
        <v>0</v>
      </c>
      <c r="AY48" s="40" t="e">
        <f t="shared" si="11"/>
        <v>#DIV/0!</v>
      </c>
      <c r="AZ48" s="53">
        <v>3</v>
      </c>
      <c r="BA48" s="35" t="str">
        <f>+$J$48</f>
        <v>No. de Procesos de LMA Ejecutados</v>
      </c>
      <c r="BB48" s="39">
        <v>0</v>
      </c>
      <c r="BC48" s="42"/>
      <c r="BD48" s="42"/>
      <c r="BE48" s="40">
        <f t="shared" si="12"/>
        <v>0</v>
      </c>
      <c r="BF48" s="40" t="e">
        <f t="shared" si="13"/>
        <v>#DIV/0!</v>
      </c>
      <c r="BG48" s="40">
        <f t="shared" si="14"/>
        <v>0</v>
      </c>
      <c r="BH48" s="40" t="e">
        <f t="shared" si="15"/>
        <v>#DIV/0!</v>
      </c>
      <c r="BI48" s="44">
        <f t="shared" si="16"/>
        <v>0</v>
      </c>
      <c r="BJ48" s="44" t="str">
        <f t="shared" si="17"/>
        <v>No Prog ni Ejec</v>
      </c>
      <c r="BK48" s="44">
        <f t="shared" si="18"/>
        <v>0</v>
      </c>
      <c r="BL48" s="44" t="str">
        <f t="shared" si="19"/>
        <v>No Prog ni Ejec</v>
      </c>
      <c r="BM48" s="44">
        <f t="shared" si="20"/>
        <v>0</v>
      </c>
      <c r="BN48" s="44" t="str">
        <f t="shared" si="21"/>
        <v>No Prog ni Ejec</v>
      </c>
      <c r="BO48" s="44">
        <f t="shared" si="22"/>
        <v>0</v>
      </c>
      <c r="BP48" s="44" t="str">
        <f t="shared" si="23"/>
        <v>No Prog ni Ejec</v>
      </c>
      <c r="BQ48" s="42"/>
    </row>
    <row r="49" spans="1:69" s="45" customFormat="1" ht="105" x14ac:dyDescent="0.25">
      <c r="A49" s="34">
        <v>11400</v>
      </c>
      <c r="B49" s="35" t="str">
        <f>+VLOOKUP(A49,'[1]TAB. REF. PA'!$A$4:$B$14,2,FALSE)</f>
        <v>Dirección de Liquidaciones y Garantías</v>
      </c>
      <c r="C49" s="36" t="s">
        <v>188</v>
      </c>
      <c r="D49" s="35" t="s">
        <v>144</v>
      </c>
      <c r="E49" s="36" t="s">
        <v>481</v>
      </c>
      <c r="F49" s="35" t="s">
        <v>233</v>
      </c>
      <c r="G49" s="37" t="s">
        <v>124</v>
      </c>
      <c r="H49" s="52">
        <v>48</v>
      </c>
      <c r="I49" s="36" t="s">
        <v>482</v>
      </c>
      <c r="J49" s="38" t="s">
        <v>193</v>
      </c>
      <c r="K49" s="39">
        <v>0</v>
      </c>
      <c r="L49" s="40">
        <v>0.5</v>
      </c>
      <c r="M49" s="41" t="s">
        <v>46</v>
      </c>
      <c r="N49" s="41" t="s">
        <v>68</v>
      </c>
      <c r="O49" s="41" t="s">
        <v>21</v>
      </c>
      <c r="P49" s="41" t="s">
        <v>36</v>
      </c>
      <c r="Q49" s="41" t="s">
        <v>216</v>
      </c>
      <c r="R49" s="42"/>
      <c r="S49" s="41" t="s">
        <v>232</v>
      </c>
      <c r="T49" s="41" t="s">
        <v>99</v>
      </c>
      <c r="U49" s="53">
        <f t="shared" si="24"/>
        <v>48</v>
      </c>
      <c r="V49" s="35" t="str">
        <f>+$J$49</f>
        <v>Publicación Giro Directo Régimen Contributivo</v>
      </c>
      <c r="W49" s="39">
        <v>0</v>
      </c>
      <c r="X49" s="34" t="s">
        <v>117</v>
      </c>
      <c r="Y49" s="36">
        <v>12</v>
      </c>
      <c r="Z49" s="35" t="str">
        <f>+$J$49</f>
        <v>Publicación Giro Directo Régimen Contributivo</v>
      </c>
      <c r="AA49" s="39">
        <v>0</v>
      </c>
      <c r="AB49" s="42"/>
      <c r="AC49" s="42"/>
      <c r="AD49" s="40">
        <f t="shared" si="0"/>
        <v>0</v>
      </c>
      <c r="AE49" s="40" t="e">
        <f t="shared" si="1"/>
        <v>#DIV/0!</v>
      </c>
      <c r="AF49" s="40">
        <f t="shared" si="2"/>
        <v>0</v>
      </c>
      <c r="AG49" s="40" t="e">
        <f t="shared" si="3"/>
        <v>#DIV/0!</v>
      </c>
      <c r="AH49" s="36">
        <v>12</v>
      </c>
      <c r="AI49" s="35" t="str">
        <f>+$J$49</f>
        <v>Publicación Giro Directo Régimen Contributivo</v>
      </c>
      <c r="AJ49" s="39">
        <v>0</v>
      </c>
      <c r="AK49" s="42"/>
      <c r="AL49" s="42"/>
      <c r="AM49" s="40">
        <f t="shared" si="4"/>
        <v>0</v>
      </c>
      <c r="AN49" s="40" t="e">
        <f t="shared" si="5"/>
        <v>#DIV/0!</v>
      </c>
      <c r="AO49" s="40">
        <f t="shared" si="6"/>
        <v>0</v>
      </c>
      <c r="AP49" s="43" t="e">
        <f t="shared" si="7"/>
        <v>#DIV/0!</v>
      </c>
      <c r="AQ49" s="36">
        <v>12</v>
      </c>
      <c r="AR49" s="35" t="str">
        <f>+$J$49</f>
        <v>Publicación Giro Directo Régimen Contributivo</v>
      </c>
      <c r="AS49" s="39">
        <v>0</v>
      </c>
      <c r="AT49" s="42"/>
      <c r="AU49" s="42"/>
      <c r="AV49" s="40">
        <f t="shared" si="8"/>
        <v>0</v>
      </c>
      <c r="AW49" s="40" t="e">
        <f t="shared" si="9"/>
        <v>#DIV/0!</v>
      </c>
      <c r="AX49" s="40">
        <f t="shared" si="10"/>
        <v>0</v>
      </c>
      <c r="AY49" s="40" t="e">
        <f t="shared" si="11"/>
        <v>#DIV/0!</v>
      </c>
      <c r="AZ49" s="36">
        <v>12</v>
      </c>
      <c r="BA49" s="35" t="str">
        <f>+$J$49</f>
        <v>Publicación Giro Directo Régimen Contributivo</v>
      </c>
      <c r="BB49" s="39">
        <v>0</v>
      </c>
      <c r="BC49" s="42"/>
      <c r="BD49" s="42"/>
      <c r="BE49" s="40">
        <f t="shared" si="12"/>
        <v>0</v>
      </c>
      <c r="BF49" s="40" t="e">
        <f t="shared" si="13"/>
        <v>#DIV/0!</v>
      </c>
      <c r="BG49" s="40">
        <f t="shared" si="14"/>
        <v>0</v>
      </c>
      <c r="BH49" s="40" t="e">
        <f t="shared" si="15"/>
        <v>#DIV/0!</v>
      </c>
      <c r="BI49" s="44">
        <f t="shared" si="16"/>
        <v>0</v>
      </c>
      <c r="BJ49" s="44" t="str">
        <f t="shared" si="17"/>
        <v>No Prog ni Ejec</v>
      </c>
      <c r="BK49" s="44">
        <f t="shared" si="18"/>
        <v>0</v>
      </c>
      <c r="BL49" s="44" t="str">
        <f t="shared" si="19"/>
        <v>No Prog ni Ejec</v>
      </c>
      <c r="BM49" s="44">
        <f t="shared" si="20"/>
        <v>0</v>
      </c>
      <c r="BN49" s="44" t="str">
        <f t="shared" si="21"/>
        <v>No Prog ni Ejec</v>
      </c>
      <c r="BO49" s="44">
        <f t="shared" si="22"/>
        <v>0</v>
      </c>
      <c r="BP49" s="44" t="str">
        <f t="shared" si="23"/>
        <v>No Prog ni Ejec</v>
      </c>
      <c r="BQ49" s="42"/>
    </row>
    <row r="50" spans="1:69" s="45" customFormat="1" ht="105" x14ac:dyDescent="0.25">
      <c r="A50" s="34">
        <v>11400</v>
      </c>
      <c r="B50" s="35" t="str">
        <f>+VLOOKUP(A50,'[1]TAB. REF. PA'!$A$4:$B$14,2,FALSE)</f>
        <v>Dirección de Liquidaciones y Garantías</v>
      </c>
      <c r="C50" s="36" t="s">
        <v>188</v>
      </c>
      <c r="D50" s="35" t="s">
        <v>144</v>
      </c>
      <c r="E50" s="36" t="s">
        <v>481</v>
      </c>
      <c r="F50" s="35" t="s">
        <v>234</v>
      </c>
      <c r="G50" s="37" t="s">
        <v>124</v>
      </c>
      <c r="H50" s="36">
        <v>12</v>
      </c>
      <c r="I50" s="36" t="s">
        <v>483</v>
      </c>
      <c r="J50" s="38" t="s">
        <v>194</v>
      </c>
      <c r="K50" s="39">
        <v>0</v>
      </c>
      <c r="L50" s="40">
        <v>0.5</v>
      </c>
      <c r="M50" s="41" t="s">
        <v>46</v>
      </c>
      <c r="N50" s="41" t="s">
        <v>68</v>
      </c>
      <c r="O50" s="41" t="s">
        <v>21</v>
      </c>
      <c r="P50" s="41" t="s">
        <v>36</v>
      </c>
      <c r="Q50" s="41" t="s">
        <v>223</v>
      </c>
      <c r="R50" s="42"/>
      <c r="S50" s="41" t="s">
        <v>232</v>
      </c>
      <c r="T50" s="41" t="s">
        <v>99</v>
      </c>
      <c r="U50" s="53">
        <f t="shared" si="24"/>
        <v>12</v>
      </c>
      <c r="V50" s="35" t="str">
        <f>+$J$50</f>
        <v>Publicación Giro Directo Régimen Subsidiado</v>
      </c>
      <c r="W50" s="39">
        <v>0</v>
      </c>
      <c r="X50" s="34" t="s">
        <v>117</v>
      </c>
      <c r="Y50" s="53">
        <v>3</v>
      </c>
      <c r="Z50" s="35" t="str">
        <f>+$J$50</f>
        <v>Publicación Giro Directo Régimen Subsidiado</v>
      </c>
      <c r="AA50" s="39">
        <v>0</v>
      </c>
      <c r="AB50" s="42"/>
      <c r="AC50" s="42"/>
      <c r="AD50" s="40">
        <f t="shared" si="0"/>
        <v>0</v>
      </c>
      <c r="AE50" s="40" t="e">
        <f t="shared" si="1"/>
        <v>#DIV/0!</v>
      </c>
      <c r="AF50" s="40">
        <f t="shared" si="2"/>
        <v>0</v>
      </c>
      <c r="AG50" s="40" t="e">
        <f t="shared" si="3"/>
        <v>#DIV/0!</v>
      </c>
      <c r="AH50" s="53">
        <v>3</v>
      </c>
      <c r="AI50" s="35" t="str">
        <f>+$J$50</f>
        <v>Publicación Giro Directo Régimen Subsidiado</v>
      </c>
      <c r="AJ50" s="39">
        <v>0</v>
      </c>
      <c r="AK50" s="42"/>
      <c r="AL50" s="42"/>
      <c r="AM50" s="40">
        <f t="shared" si="4"/>
        <v>0</v>
      </c>
      <c r="AN50" s="40" t="e">
        <f t="shared" si="5"/>
        <v>#DIV/0!</v>
      </c>
      <c r="AO50" s="40">
        <f t="shared" si="6"/>
        <v>0</v>
      </c>
      <c r="AP50" s="43" t="e">
        <f t="shared" si="7"/>
        <v>#DIV/0!</v>
      </c>
      <c r="AQ50" s="53">
        <v>3</v>
      </c>
      <c r="AR50" s="35" t="str">
        <f>+$J$50</f>
        <v>Publicación Giro Directo Régimen Subsidiado</v>
      </c>
      <c r="AS50" s="39">
        <v>0</v>
      </c>
      <c r="AT50" s="42"/>
      <c r="AU50" s="42"/>
      <c r="AV50" s="40">
        <f t="shared" si="8"/>
        <v>0</v>
      </c>
      <c r="AW50" s="40" t="e">
        <f t="shared" si="9"/>
        <v>#DIV/0!</v>
      </c>
      <c r="AX50" s="40">
        <f t="shared" si="10"/>
        <v>0</v>
      </c>
      <c r="AY50" s="40" t="e">
        <f t="shared" si="11"/>
        <v>#DIV/0!</v>
      </c>
      <c r="AZ50" s="53">
        <v>3</v>
      </c>
      <c r="BA50" s="35" t="str">
        <f>+$J$50</f>
        <v>Publicación Giro Directo Régimen Subsidiado</v>
      </c>
      <c r="BB50" s="39">
        <v>0</v>
      </c>
      <c r="BC50" s="42"/>
      <c r="BD50" s="42"/>
      <c r="BE50" s="40">
        <f t="shared" si="12"/>
        <v>0</v>
      </c>
      <c r="BF50" s="40" t="e">
        <f t="shared" si="13"/>
        <v>#DIV/0!</v>
      </c>
      <c r="BG50" s="40">
        <f t="shared" si="14"/>
        <v>0</v>
      </c>
      <c r="BH50" s="40" t="e">
        <f t="shared" si="15"/>
        <v>#DIV/0!</v>
      </c>
      <c r="BI50" s="44">
        <f t="shared" si="16"/>
        <v>0</v>
      </c>
      <c r="BJ50" s="44" t="str">
        <f t="shared" si="17"/>
        <v>No Prog ni Ejec</v>
      </c>
      <c r="BK50" s="44">
        <f t="shared" si="18"/>
        <v>0</v>
      </c>
      <c r="BL50" s="44" t="str">
        <f t="shared" si="19"/>
        <v>No Prog ni Ejec</v>
      </c>
      <c r="BM50" s="44">
        <f t="shared" si="20"/>
        <v>0</v>
      </c>
      <c r="BN50" s="44" t="str">
        <f t="shared" si="21"/>
        <v>No Prog ni Ejec</v>
      </c>
      <c r="BO50" s="44">
        <f t="shared" si="22"/>
        <v>0</v>
      </c>
      <c r="BP50" s="44" t="str">
        <f t="shared" si="23"/>
        <v>No Prog ni Ejec</v>
      </c>
      <c r="BQ50" s="42"/>
    </row>
    <row r="51" spans="1:69" s="45" customFormat="1" ht="120" x14ac:dyDescent="0.25">
      <c r="A51" s="34">
        <v>11400</v>
      </c>
      <c r="B51" s="35" t="str">
        <f>+VLOOKUP(A51,'[1]TAB. REF. PA'!$A$4:$B$14,2,FALSE)</f>
        <v>Dirección de Liquidaciones y Garantías</v>
      </c>
      <c r="C51" s="36" t="s">
        <v>188</v>
      </c>
      <c r="D51" s="35" t="s">
        <v>144</v>
      </c>
      <c r="E51" s="36" t="s">
        <v>484</v>
      </c>
      <c r="F51" s="35" t="s">
        <v>195</v>
      </c>
      <c r="G51" s="37" t="s">
        <v>123</v>
      </c>
      <c r="H51" s="50">
        <v>1</v>
      </c>
      <c r="I51" s="36" t="s">
        <v>485</v>
      </c>
      <c r="J51" s="38" t="s">
        <v>196</v>
      </c>
      <c r="K51" s="39">
        <v>0</v>
      </c>
      <c r="L51" s="40">
        <v>0.5</v>
      </c>
      <c r="M51" s="41" t="s">
        <v>46</v>
      </c>
      <c r="N51" s="41" t="s">
        <v>68</v>
      </c>
      <c r="O51" s="41" t="s">
        <v>21</v>
      </c>
      <c r="P51" s="41" t="s">
        <v>36</v>
      </c>
      <c r="Q51" s="41" t="s">
        <v>216</v>
      </c>
      <c r="R51" s="42"/>
      <c r="S51" s="41" t="s">
        <v>235</v>
      </c>
      <c r="T51" s="41" t="s">
        <v>99</v>
      </c>
      <c r="U51" s="47">
        <v>1</v>
      </c>
      <c r="V51" s="35" t="str">
        <f>+$J$51</f>
        <v>Trámite de prestaciones económicas REX</v>
      </c>
      <c r="W51" s="39">
        <v>0</v>
      </c>
      <c r="X51" s="34" t="s">
        <v>117</v>
      </c>
      <c r="Y51" s="47">
        <v>1</v>
      </c>
      <c r="Z51" s="35" t="str">
        <f>+$J$51</f>
        <v>Trámite de prestaciones económicas REX</v>
      </c>
      <c r="AA51" s="39">
        <v>0</v>
      </c>
      <c r="AB51" s="42"/>
      <c r="AC51" s="42"/>
      <c r="AD51" s="40">
        <f t="shared" si="0"/>
        <v>0</v>
      </c>
      <c r="AE51" s="40" t="e">
        <f t="shared" si="1"/>
        <v>#DIV/0!</v>
      </c>
      <c r="AF51" s="40">
        <f t="shared" si="2"/>
        <v>0</v>
      </c>
      <c r="AG51" s="40" t="e">
        <f t="shared" si="3"/>
        <v>#DIV/0!</v>
      </c>
      <c r="AH51" s="54">
        <v>1</v>
      </c>
      <c r="AI51" s="35" t="str">
        <f>+$J$51</f>
        <v>Trámite de prestaciones económicas REX</v>
      </c>
      <c r="AJ51" s="39">
        <v>0</v>
      </c>
      <c r="AK51" s="54"/>
      <c r="AL51" s="42"/>
      <c r="AM51" s="40">
        <f t="shared" si="4"/>
        <v>0</v>
      </c>
      <c r="AN51" s="40" t="e">
        <f t="shared" si="5"/>
        <v>#DIV/0!</v>
      </c>
      <c r="AO51" s="40">
        <f t="shared" si="6"/>
        <v>0</v>
      </c>
      <c r="AP51" s="43" t="e">
        <f t="shared" si="7"/>
        <v>#DIV/0!</v>
      </c>
      <c r="AQ51" s="54">
        <v>1</v>
      </c>
      <c r="AR51" s="35" t="str">
        <f>+$J$51</f>
        <v>Trámite de prestaciones económicas REX</v>
      </c>
      <c r="AS51" s="39">
        <v>0</v>
      </c>
      <c r="AT51" s="54">
        <v>1</v>
      </c>
      <c r="AU51" s="42"/>
      <c r="AV51" s="40">
        <f t="shared" si="8"/>
        <v>1</v>
      </c>
      <c r="AW51" s="40" t="e">
        <f t="shared" si="9"/>
        <v>#DIV/0!</v>
      </c>
      <c r="AX51" s="40">
        <f t="shared" si="10"/>
        <v>1</v>
      </c>
      <c r="AY51" s="40" t="e">
        <f t="shared" si="11"/>
        <v>#DIV/0!</v>
      </c>
      <c r="AZ51" s="54">
        <v>1</v>
      </c>
      <c r="BA51" s="35" t="str">
        <f>+$J$51</f>
        <v>Trámite de prestaciones económicas REX</v>
      </c>
      <c r="BB51" s="39">
        <v>0</v>
      </c>
      <c r="BC51" s="47"/>
      <c r="BD51" s="42"/>
      <c r="BE51" s="40">
        <f t="shared" si="12"/>
        <v>0</v>
      </c>
      <c r="BF51" s="40" t="e">
        <f t="shared" si="13"/>
        <v>#DIV/0!</v>
      </c>
      <c r="BG51" s="40">
        <f t="shared" si="14"/>
        <v>1</v>
      </c>
      <c r="BH51" s="40" t="e">
        <f t="shared" si="15"/>
        <v>#DIV/0!</v>
      </c>
      <c r="BI51" s="44">
        <f t="shared" si="16"/>
        <v>0</v>
      </c>
      <c r="BJ51" s="44" t="str">
        <f t="shared" si="17"/>
        <v>No Prog ni Ejec</v>
      </c>
      <c r="BK51" s="44">
        <f t="shared" si="18"/>
        <v>0</v>
      </c>
      <c r="BL51" s="44" t="str">
        <f t="shared" si="19"/>
        <v>No Prog ni Ejec</v>
      </c>
      <c r="BM51" s="44">
        <f t="shared" si="20"/>
        <v>1</v>
      </c>
      <c r="BN51" s="44" t="str">
        <f t="shared" si="21"/>
        <v>No Prog ni Ejec</v>
      </c>
      <c r="BO51" s="44">
        <f t="shared" si="22"/>
        <v>0</v>
      </c>
      <c r="BP51" s="44" t="str">
        <f t="shared" si="23"/>
        <v>No Prog ni Ejec</v>
      </c>
      <c r="BQ51" s="42"/>
    </row>
    <row r="52" spans="1:69" s="45" customFormat="1" ht="120" x14ac:dyDescent="0.25">
      <c r="A52" s="34">
        <v>11400</v>
      </c>
      <c r="B52" s="35" t="str">
        <f>+VLOOKUP(A52,'[1]TAB. REF. PA'!$A$4:$B$14,2,FALSE)</f>
        <v>Dirección de Liquidaciones y Garantías</v>
      </c>
      <c r="C52" s="36" t="s">
        <v>188</v>
      </c>
      <c r="D52" s="35" t="s">
        <v>144</v>
      </c>
      <c r="E52" s="36" t="s">
        <v>484</v>
      </c>
      <c r="F52" s="35" t="s">
        <v>195</v>
      </c>
      <c r="G52" s="37" t="s">
        <v>123</v>
      </c>
      <c r="H52" s="50">
        <v>1</v>
      </c>
      <c r="I52" s="36" t="s">
        <v>486</v>
      </c>
      <c r="J52" s="38" t="s">
        <v>197</v>
      </c>
      <c r="K52" s="39">
        <v>48960000</v>
      </c>
      <c r="L52" s="40">
        <v>0.5</v>
      </c>
      <c r="M52" s="41" t="s">
        <v>46</v>
      </c>
      <c r="N52" s="41" t="s">
        <v>68</v>
      </c>
      <c r="O52" s="41" t="s">
        <v>21</v>
      </c>
      <c r="P52" s="41" t="s">
        <v>36</v>
      </c>
      <c r="Q52" s="41" t="s">
        <v>216</v>
      </c>
      <c r="R52" s="42"/>
      <c r="S52" s="41" t="s">
        <v>236</v>
      </c>
      <c r="T52" s="41" t="s">
        <v>99</v>
      </c>
      <c r="U52" s="47">
        <v>1</v>
      </c>
      <c r="V52" s="35" t="str">
        <f>+$J$52</f>
        <v>Trámite de devolución de aportes REX</v>
      </c>
      <c r="W52" s="39">
        <f>+K52</f>
        <v>48960000</v>
      </c>
      <c r="X52" s="34" t="s">
        <v>114</v>
      </c>
      <c r="Y52" s="54">
        <v>1</v>
      </c>
      <c r="Z52" s="35" t="str">
        <f>+$J$52</f>
        <v>Trámite de devolución de aportes REX</v>
      </c>
      <c r="AA52" s="39">
        <v>12240000</v>
      </c>
      <c r="AB52" s="55"/>
      <c r="AC52" s="42"/>
      <c r="AD52" s="40">
        <f t="shared" si="0"/>
        <v>0</v>
      </c>
      <c r="AE52" s="40">
        <f t="shared" si="1"/>
        <v>0</v>
      </c>
      <c r="AF52" s="40">
        <f t="shared" si="2"/>
        <v>0</v>
      </c>
      <c r="AG52" s="40">
        <f t="shared" si="3"/>
        <v>0</v>
      </c>
      <c r="AH52" s="54">
        <v>1</v>
      </c>
      <c r="AI52" s="35" t="str">
        <f>+$J$52</f>
        <v>Trámite de devolución de aportes REX</v>
      </c>
      <c r="AJ52" s="39">
        <v>12240000</v>
      </c>
      <c r="AK52" s="54"/>
      <c r="AL52" s="42"/>
      <c r="AM52" s="40">
        <f t="shared" si="4"/>
        <v>0</v>
      </c>
      <c r="AN52" s="40">
        <f t="shared" si="5"/>
        <v>0</v>
      </c>
      <c r="AO52" s="40">
        <f t="shared" si="6"/>
        <v>0</v>
      </c>
      <c r="AP52" s="43">
        <f t="shared" si="7"/>
        <v>0</v>
      </c>
      <c r="AQ52" s="54">
        <v>1</v>
      </c>
      <c r="AR52" s="35" t="str">
        <f>+$J$52</f>
        <v>Trámite de devolución de aportes REX</v>
      </c>
      <c r="AS52" s="39">
        <v>12240000</v>
      </c>
      <c r="AT52" s="54"/>
      <c r="AU52" s="42"/>
      <c r="AV52" s="40">
        <f t="shared" si="8"/>
        <v>0</v>
      </c>
      <c r="AW52" s="40">
        <f t="shared" si="9"/>
        <v>0</v>
      </c>
      <c r="AX52" s="40">
        <f t="shared" si="10"/>
        <v>0</v>
      </c>
      <c r="AY52" s="40">
        <f t="shared" si="11"/>
        <v>0</v>
      </c>
      <c r="AZ52" s="54">
        <v>1</v>
      </c>
      <c r="BA52" s="35" t="str">
        <f>+$J$52</f>
        <v>Trámite de devolución de aportes REX</v>
      </c>
      <c r="BB52" s="39">
        <v>12240000</v>
      </c>
      <c r="BC52" s="47"/>
      <c r="BD52" s="42"/>
      <c r="BE52" s="40">
        <f t="shared" si="12"/>
        <v>0</v>
      </c>
      <c r="BF52" s="40">
        <f t="shared" si="13"/>
        <v>0</v>
      </c>
      <c r="BG52" s="40">
        <f t="shared" si="14"/>
        <v>0</v>
      </c>
      <c r="BH52" s="40">
        <f t="shared" si="15"/>
        <v>0</v>
      </c>
      <c r="BI52" s="44">
        <f t="shared" si="16"/>
        <v>0</v>
      </c>
      <c r="BJ52" s="44">
        <f t="shared" si="17"/>
        <v>0</v>
      </c>
      <c r="BK52" s="44">
        <f t="shared" si="18"/>
        <v>0</v>
      </c>
      <c r="BL52" s="44">
        <f t="shared" si="19"/>
        <v>0</v>
      </c>
      <c r="BM52" s="44">
        <f t="shared" si="20"/>
        <v>0</v>
      </c>
      <c r="BN52" s="44">
        <f t="shared" si="21"/>
        <v>0</v>
      </c>
      <c r="BO52" s="44">
        <f t="shared" si="22"/>
        <v>0</v>
      </c>
      <c r="BP52" s="44">
        <f t="shared" si="23"/>
        <v>0</v>
      </c>
      <c r="BQ52" s="42"/>
    </row>
    <row r="53" spans="1:69" s="45" customFormat="1" ht="105" x14ac:dyDescent="0.25">
      <c r="A53" s="34">
        <v>11400</v>
      </c>
      <c r="B53" s="35" t="str">
        <f>+VLOOKUP(A53,'[1]TAB. REF. PA'!$A$4:$B$14,2,FALSE)</f>
        <v>Dirección de Liquidaciones y Garantías</v>
      </c>
      <c r="C53" s="36" t="s">
        <v>188</v>
      </c>
      <c r="D53" s="35" t="s">
        <v>144</v>
      </c>
      <c r="E53" s="36" t="s">
        <v>487</v>
      </c>
      <c r="F53" s="35" t="s">
        <v>476</v>
      </c>
      <c r="G53" s="37" t="s">
        <v>123</v>
      </c>
      <c r="H53" s="50">
        <v>1</v>
      </c>
      <c r="I53" s="36" t="s">
        <v>488</v>
      </c>
      <c r="J53" s="38" t="s">
        <v>473</v>
      </c>
      <c r="K53" s="39">
        <v>164378848</v>
      </c>
      <c r="L53" s="40">
        <v>1</v>
      </c>
      <c r="M53" s="41" t="s">
        <v>46</v>
      </c>
      <c r="N53" s="41" t="s">
        <v>68</v>
      </c>
      <c r="O53" s="41" t="s">
        <v>21</v>
      </c>
      <c r="P53" s="41" t="s">
        <v>36</v>
      </c>
      <c r="Q53" s="41" t="s">
        <v>216</v>
      </c>
      <c r="R53" s="42"/>
      <c r="S53" s="41" t="s">
        <v>474</v>
      </c>
      <c r="T53" s="41" t="s">
        <v>99</v>
      </c>
      <c r="U53" s="47">
        <v>1</v>
      </c>
      <c r="V53" s="35" t="str">
        <f>+$J$53</f>
        <v>Elaboración de solicitudes de aclaración sobre apropiaciones sin justa causa</v>
      </c>
      <c r="W53" s="39">
        <f>+K53</f>
        <v>164378848</v>
      </c>
      <c r="X53" s="34" t="s">
        <v>117</v>
      </c>
      <c r="Y53" s="54">
        <v>1</v>
      </c>
      <c r="Z53" s="35" t="str">
        <f>+$J$53</f>
        <v>Elaboración de solicitudes de aclaración sobre apropiaciones sin justa causa</v>
      </c>
      <c r="AA53" s="39">
        <v>46231551</v>
      </c>
      <c r="AB53" s="42"/>
      <c r="AC53" s="42"/>
      <c r="AD53" s="40">
        <f t="shared" si="0"/>
        <v>0</v>
      </c>
      <c r="AE53" s="40">
        <f t="shared" si="1"/>
        <v>0</v>
      </c>
      <c r="AF53" s="40">
        <f t="shared" si="2"/>
        <v>0</v>
      </c>
      <c r="AG53" s="40">
        <f t="shared" si="3"/>
        <v>0</v>
      </c>
      <c r="AH53" s="54">
        <v>1</v>
      </c>
      <c r="AI53" s="35" t="str">
        <f>+$J$53</f>
        <v>Elaboración de solicitudes de aclaración sobre apropiaciones sin justa causa</v>
      </c>
      <c r="AJ53" s="39">
        <v>46231551</v>
      </c>
      <c r="AK53" s="54"/>
      <c r="AL53" s="42"/>
      <c r="AM53" s="40">
        <f t="shared" si="4"/>
        <v>0</v>
      </c>
      <c r="AN53" s="40">
        <f t="shared" si="5"/>
        <v>0</v>
      </c>
      <c r="AO53" s="40">
        <f t="shared" si="6"/>
        <v>0</v>
      </c>
      <c r="AP53" s="43">
        <f t="shared" si="7"/>
        <v>0</v>
      </c>
      <c r="AQ53" s="54">
        <v>1</v>
      </c>
      <c r="AR53" s="35" t="str">
        <f>+$J$53</f>
        <v>Elaboración de solicitudes de aclaración sobre apropiaciones sin justa causa</v>
      </c>
      <c r="AS53" s="39">
        <v>41094712</v>
      </c>
      <c r="AT53" s="54"/>
      <c r="AU53" s="42"/>
      <c r="AV53" s="40">
        <f t="shared" si="8"/>
        <v>0</v>
      </c>
      <c r="AW53" s="40">
        <f t="shared" si="9"/>
        <v>0</v>
      </c>
      <c r="AX53" s="40">
        <f t="shared" si="10"/>
        <v>0</v>
      </c>
      <c r="AY53" s="40">
        <f t="shared" si="11"/>
        <v>0</v>
      </c>
      <c r="AZ53" s="54">
        <v>1</v>
      </c>
      <c r="BA53" s="35" t="str">
        <f>+$J$53</f>
        <v>Elaboración de solicitudes de aclaración sobre apropiaciones sin justa causa</v>
      </c>
      <c r="BB53" s="39">
        <v>30821034</v>
      </c>
      <c r="BC53" s="47"/>
      <c r="BD53" s="42"/>
      <c r="BE53" s="40">
        <f t="shared" si="12"/>
        <v>0</v>
      </c>
      <c r="BF53" s="40">
        <f t="shared" si="13"/>
        <v>0</v>
      </c>
      <c r="BG53" s="40">
        <f t="shared" si="14"/>
        <v>0</v>
      </c>
      <c r="BH53" s="40">
        <f t="shared" si="15"/>
        <v>0</v>
      </c>
      <c r="BI53" s="44">
        <f t="shared" si="16"/>
        <v>0</v>
      </c>
      <c r="BJ53" s="44">
        <f t="shared" si="17"/>
        <v>0</v>
      </c>
      <c r="BK53" s="44">
        <f t="shared" si="18"/>
        <v>0</v>
      </c>
      <c r="BL53" s="44">
        <f t="shared" si="19"/>
        <v>0</v>
      </c>
      <c r="BM53" s="44">
        <f t="shared" si="20"/>
        <v>0</v>
      </c>
      <c r="BN53" s="44">
        <f t="shared" si="21"/>
        <v>0</v>
      </c>
      <c r="BO53" s="44">
        <f t="shared" si="22"/>
        <v>0</v>
      </c>
      <c r="BP53" s="44">
        <f t="shared" si="23"/>
        <v>0</v>
      </c>
      <c r="BQ53" s="42"/>
    </row>
    <row r="54" spans="1:69" s="45" customFormat="1" ht="120" x14ac:dyDescent="0.25">
      <c r="A54" s="34">
        <v>11400</v>
      </c>
      <c r="B54" s="35" t="str">
        <f>+VLOOKUP(A54,'[1]TAB. REF. PA'!$A$4:$B$14,2,FALSE)</f>
        <v>Dirección de Liquidaciones y Garantías</v>
      </c>
      <c r="C54" s="36" t="s">
        <v>188</v>
      </c>
      <c r="D54" s="35" t="s">
        <v>144</v>
      </c>
      <c r="E54" s="36" t="s">
        <v>489</v>
      </c>
      <c r="F54" s="35" t="s">
        <v>198</v>
      </c>
      <c r="G54" s="37" t="s">
        <v>123</v>
      </c>
      <c r="H54" s="50">
        <v>1</v>
      </c>
      <c r="I54" s="36" t="s">
        <v>490</v>
      </c>
      <c r="J54" s="38" t="s">
        <v>199</v>
      </c>
      <c r="K54" s="39">
        <v>0</v>
      </c>
      <c r="L54" s="40">
        <v>1</v>
      </c>
      <c r="M54" s="41" t="s">
        <v>46</v>
      </c>
      <c r="N54" s="41" t="s">
        <v>68</v>
      </c>
      <c r="O54" s="41" t="s">
        <v>21</v>
      </c>
      <c r="P54" s="41" t="s">
        <v>36</v>
      </c>
      <c r="Q54" s="41" t="s">
        <v>223</v>
      </c>
      <c r="R54" s="42"/>
      <c r="S54" s="41" t="s">
        <v>475</v>
      </c>
      <c r="T54" s="41" t="s">
        <v>99</v>
      </c>
      <c r="U54" s="47">
        <v>1</v>
      </c>
      <c r="V54" s="35" t="str">
        <f>+$J$54</f>
        <v>Elaboración de Informes de auditoría de reintegro de recursos</v>
      </c>
      <c r="W54" s="39">
        <v>0</v>
      </c>
      <c r="X54" s="34" t="s">
        <v>117</v>
      </c>
      <c r="Y54" s="47">
        <v>1</v>
      </c>
      <c r="Z54" s="35" t="str">
        <f>+$J$54</f>
        <v>Elaboración de Informes de auditoría de reintegro de recursos</v>
      </c>
      <c r="AA54" s="39">
        <v>0</v>
      </c>
      <c r="AB54" s="42"/>
      <c r="AC54" s="42"/>
      <c r="AD54" s="40">
        <f t="shared" si="0"/>
        <v>0</v>
      </c>
      <c r="AE54" s="40" t="e">
        <f t="shared" si="1"/>
        <v>#DIV/0!</v>
      </c>
      <c r="AF54" s="40">
        <f t="shared" si="2"/>
        <v>0</v>
      </c>
      <c r="AG54" s="40" t="e">
        <f t="shared" si="3"/>
        <v>#DIV/0!</v>
      </c>
      <c r="AH54" s="54">
        <v>1</v>
      </c>
      <c r="AI54" s="35" t="str">
        <f>+$J$54</f>
        <v>Elaboración de Informes de auditoría de reintegro de recursos</v>
      </c>
      <c r="AJ54" s="39">
        <v>0</v>
      </c>
      <c r="AK54" s="54"/>
      <c r="AL54" s="42"/>
      <c r="AM54" s="40">
        <f t="shared" si="4"/>
        <v>0</v>
      </c>
      <c r="AN54" s="40" t="e">
        <f t="shared" si="5"/>
        <v>#DIV/0!</v>
      </c>
      <c r="AO54" s="40">
        <f t="shared" si="6"/>
        <v>0</v>
      </c>
      <c r="AP54" s="43" t="e">
        <f t="shared" si="7"/>
        <v>#DIV/0!</v>
      </c>
      <c r="AQ54" s="54">
        <v>1</v>
      </c>
      <c r="AR54" s="35" t="str">
        <f>+$J$54</f>
        <v>Elaboración de Informes de auditoría de reintegro de recursos</v>
      </c>
      <c r="AS54" s="39">
        <v>0</v>
      </c>
      <c r="AT54" s="54"/>
      <c r="AU54" s="42"/>
      <c r="AV54" s="40">
        <f t="shared" si="8"/>
        <v>0</v>
      </c>
      <c r="AW54" s="40" t="e">
        <f t="shared" si="9"/>
        <v>#DIV/0!</v>
      </c>
      <c r="AX54" s="40">
        <f t="shared" si="10"/>
        <v>0</v>
      </c>
      <c r="AY54" s="40" t="e">
        <f t="shared" si="11"/>
        <v>#DIV/0!</v>
      </c>
      <c r="AZ54" s="54">
        <v>1</v>
      </c>
      <c r="BA54" s="35" t="str">
        <f>+$J$54</f>
        <v>Elaboración de Informes de auditoría de reintegro de recursos</v>
      </c>
      <c r="BB54" s="39">
        <v>0</v>
      </c>
      <c r="BC54" s="47"/>
      <c r="BD54" s="42"/>
      <c r="BE54" s="40">
        <f t="shared" si="12"/>
        <v>0</v>
      </c>
      <c r="BF54" s="40" t="e">
        <f t="shared" si="13"/>
        <v>#DIV/0!</v>
      </c>
      <c r="BG54" s="40">
        <f t="shared" si="14"/>
        <v>0</v>
      </c>
      <c r="BH54" s="40" t="e">
        <f t="shared" si="15"/>
        <v>#DIV/0!</v>
      </c>
      <c r="BI54" s="44">
        <f t="shared" si="16"/>
        <v>0</v>
      </c>
      <c r="BJ54" s="44" t="str">
        <f t="shared" si="17"/>
        <v>No Prog ni Ejec</v>
      </c>
      <c r="BK54" s="44">
        <f t="shared" si="18"/>
        <v>0</v>
      </c>
      <c r="BL54" s="44" t="str">
        <f t="shared" si="19"/>
        <v>No Prog ni Ejec</v>
      </c>
      <c r="BM54" s="44">
        <f t="shared" si="20"/>
        <v>0</v>
      </c>
      <c r="BN54" s="44" t="str">
        <f t="shared" si="21"/>
        <v>No Prog ni Ejec</v>
      </c>
      <c r="BO54" s="44">
        <f t="shared" si="22"/>
        <v>0</v>
      </c>
      <c r="BP54" s="44" t="str">
        <f t="shared" si="23"/>
        <v>No Prog ni Ejec</v>
      </c>
      <c r="BQ54" s="42"/>
    </row>
    <row r="55" spans="1:69" s="45" customFormat="1" ht="137.25" customHeight="1" x14ac:dyDescent="0.25">
      <c r="A55" s="34">
        <v>11400</v>
      </c>
      <c r="B55" s="35" t="str">
        <f>+VLOOKUP(A55,'[1]TAB. REF. PA'!$A$4:$B$14,2,FALSE)</f>
        <v>Dirección de Liquidaciones y Garantías</v>
      </c>
      <c r="C55" s="36" t="s">
        <v>188</v>
      </c>
      <c r="D55" s="35" t="s">
        <v>144</v>
      </c>
      <c r="E55" s="36" t="s">
        <v>491</v>
      </c>
      <c r="F55" s="35" t="s">
        <v>478</v>
      </c>
      <c r="G55" s="37" t="s">
        <v>123</v>
      </c>
      <c r="H55" s="50">
        <v>1</v>
      </c>
      <c r="I55" s="36" t="s">
        <v>492</v>
      </c>
      <c r="J55" s="38" t="s">
        <v>477</v>
      </c>
      <c r="K55" s="39">
        <v>0</v>
      </c>
      <c r="L55" s="40">
        <v>1</v>
      </c>
      <c r="M55" s="41" t="s">
        <v>46</v>
      </c>
      <c r="N55" s="41" t="s">
        <v>68</v>
      </c>
      <c r="O55" s="41" t="s">
        <v>21</v>
      </c>
      <c r="P55" s="41" t="s">
        <v>36</v>
      </c>
      <c r="Q55" s="41" t="s">
        <v>223</v>
      </c>
      <c r="R55" s="42"/>
      <c r="S55" s="41" t="s">
        <v>507</v>
      </c>
      <c r="T55" s="41" t="s">
        <v>99</v>
      </c>
      <c r="U55" s="47">
        <v>1</v>
      </c>
      <c r="V55" s="35" t="str">
        <f>+$J$55</f>
        <v>Elaboración de comunicaciones con las conclusiones del procedimiento de la auditoría de reintegro de recursos</v>
      </c>
      <c r="W55" s="39">
        <v>0</v>
      </c>
      <c r="X55" s="34" t="s">
        <v>117</v>
      </c>
      <c r="Y55" s="47">
        <v>1</v>
      </c>
      <c r="Z55" s="35" t="str">
        <f>+$J$55</f>
        <v>Elaboración de comunicaciones con las conclusiones del procedimiento de la auditoría de reintegro de recursos</v>
      </c>
      <c r="AA55" s="39">
        <v>0</v>
      </c>
      <c r="AB55" s="42"/>
      <c r="AC55" s="42"/>
      <c r="AD55" s="40">
        <f t="shared" si="0"/>
        <v>0</v>
      </c>
      <c r="AE55" s="40" t="e">
        <f t="shared" si="1"/>
        <v>#DIV/0!</v>
      </c>
      <c r="AF55" s="40">
        <f t="shared" si="2"/>
        <v>0</v>
      </c>
      <c r="AG55" s="40" t="e">
        <f t="shared" si="3"/>
        <v>#DIV/0!</v>
      </c>
      <c r="AH55" s="54">
        <v>1</v>
      </c>
      <c r="AI55" s="35" t="str">
        <f>+$J$55</f>
        <v>Elaboración de comunicaciones con las conclusiones del procedimiento de la auditoría de reintegro de recursos</v>
      </c>
      <c r="AJ55" s="39">
        <v>0</v>
      </c>
      <c r="AK55" s="54"/>
      <c r="AL55" s="42"/>
      <c r="AM55" s="40">
        <f t="shared" si="4"/>
        <v>0</v>
      </c>
      <c r="AN55" s="40" t="e">
        <f t="shared" si="5"/>
        <v>#DIV/0!</v>
      </c>
      <c r="AO55" s="40">
        <f t="shared" si="6"/>
        <v>0</v>
      </c>
      <c r="AP55" s="43" t="e">
        <f t="shared" si="7"/>
        <v>#DIV/0!</v>
      </c>
      <c r="AQ55" s="54">
        <v>1</v>
      </c>
      <c r="AR55" s="35" t="str">
        <f>+$J$55</f>
        <v>Elaboración de comunicaciones con las conclusiones del procedimiento de la auditoría de reintegro de recursos</v>
      </c>
      <c r="AS55" s="39">
        <v>0</v>
      </c>
      <c r="AT55" s="54"/>
      <c r="AU55" s="42"/>
      <c r="AV55" s="40">
        <f t="shared" si="8"/>
        <v>0</v>
      </c>
      <c r="AW55" s="40" t="e">
        <f t="shared" si="9"/>
        <v>#DIV/0!</v>
      </c>
      <c r="AX55" s="40">
        <f t="shared" si="10"/>
        <v>0</v>
      </c>
      <c r="AY55" s="40" t="e">
        <f t="shared" si="11"/>
        <v>#DIV/0!</v>
      </c>
      <c r="AZ55" s="54">
        <v>1</v>
      </c>
      <c r="BA55" s="35" t="str">
        <f>+$J$55</f>
        <v>Elaboración de comunicaciones con las conclusiones del procedimiento de la auditoría de reintegro de recursos</v>
      </c>
      <c r="BB55" s="39">
        <v>0</v>
      </c>
      <c r="BC55" s="47"/>
      <c r="BD55" s="42"/>
      <c r="BE55" s="40">
        <f t="shared" si="12"/>
        <v>0</v>
      </c>
      <c r="BF55" s="40" t="e">
        <f t="shared" si="13"/>
        <v>#DIV/0!</v>
      </c>
      <c r="BG55" s="40">
        <f t="shared" si="14"/>
        <v>0</v>
      </c>
      <c r="BH55" s="40" t="e">
        <f t="shared" si="15"/>
        <v>#DIV/0!</v>
      </c>
      <c r="BI55" s="44">
        <f t="shared" si="16"/>
        <v>0</v>
      </c>
      <c r="BJ55" s="44" t="str">
        <f t="shared" si="17"/>
        <v>No Prog ni Ejec</v>
      </c>
      <c r="BK55" s="44">
        <f t="shared" si="18"/>
        <v>0</v>
      </c>
      <c r="BL55" s="44" t="str">
        <f t="shared" si="19"/>
        <v>No Prog ni Ejec</v>
      </c>
      <c r="BM55" s="44">
        <f t="shared" si="20"/>
        <v>0</v>
      </c>
      <c r="BN55" s="44" t="str">
        <f t="shared" si="21"/>
        <v>No Prog ni Ejec</v>
      </c>
      <c r="BO55" s="44">
        <f t="shared" si="22"/>
        <v>0</v>
      </c>
      <c r="BP55" s="44" t="str">
        <f t="shared" si="23"/>
        <v>No Prog ni Ejec</v>
      </c>
      <c r="BQ55" s="42"/>
    </row>
    <row r="56" spans="1:69" s="45" customFormat="1" ht="105" x14ac:dyDescent="0.25">
      <c r="A56" s="34">
        <v>11400</v>
      </c>
      <c r="B56" s="35" t="str">
        <f>+VLOOKUP(A56,'[1]TAB. REF. PA'!$A$4:$B$14,2,FALSE)</f>
        <v>Dirección de Liquidaciones y Garantías</v>
      </c>
      <c r="C56" s="36" t="s">
        <v>188</v>
      </c>
      <c r="D56" s="35" t="s">
        <v>144</v>
      </c>
      <c r="E56" s="36" t="s">
        <v>493</v>
      </c>
      <c r="F56" s="35" t="s">
        <v>200</v>
      </c>
      <c r="G56" s="37" t="s">
        <v>123</v>
      </c>
      <c r="H56" s="50">
        <v>1</v>
      </c>
      <c r="I56" s="36" t="s">
        <v>494</v>
      </c>
      <c r="J56" s="38" t="s">
        <v>201</v>
      </c>
      <c r="K56" s="39">
        <v>0</v>
      </c>
      <c r="L56" s="40">
        <v>1</v>
      </c>
      <c r="M56" s="41" t="s">
        <v>46</v>
      </c>
      <c r="N56" s="41" t="s">
        <v>68</v>
      </c>
      <c r="O56" s="41" t="s">
        <v>21</v>
      </c>
      <c r="P56" s="41" t="s">
        <v>36</v>
      </c>
      <c r="Q56" s="41" t="s">
        <v>223</v>
      </c>
      <c r="R56" s="42"/>
      <c r="S56" s="41" t="s">
        <v>238</v>
      </c>
      <c r="T56" s="41" t="s">
        <v>99</v>
      </c>
      <c r="U56" s="47">
        <f t="shared" si="24"/>
        <v>1</v>
      </c>
      <c r="V56" s="35" t="str">
        <f>+$J$56</f>
        <v>Solicitud de aclaraciones a las EPS con saldos a favor de ADRES en el proceso LMA</v>
      </c>
      <c r="W56" s="39">
        <v>0</v>
      </c>
      <c r="X56" s="34" t="s">
        <v>117</v>
      </c>
      <c r="Y56" s="54">
        <v>1</v>
      </c>
      <c r="Z56" s="35" t="str">
        <f>+$J$56</f>
        <v>Solicitud de aclaraciones a las EPS con saldos a favor de ADRES en el proceso LMA</v>
      </c>
      <c r="AA56" s="39">
        <v>0</v>
      </c>
      <c r="AB56" s="42"/>
      <c r="AC56" s="42"/>
      <c r="AD56" s="40">
        <f t="shared" si="0"/>
        <v>0</v>
      </c>
      <c r="AE56" s="40" t="e">
        <f t="shared" si="1"/>
        <v>#DIV/0!</v>
      </c>
      <c r="AF56" s="40">
        <f t="shared" si="2"/>
        <v>0</v>
      </c>
      <c r="AG56" s="40" t="e">
        <f t="shared" si="3"/>
        <v>#DIV/0!</v>
      </c>
      <c r="AH56" s="54">
        <v>1</v>
      </c>
      <c r="AI56" s="35" t="str">
        <f>+$J$56</f>
        <v>Solicitud de aclaraciones a las EPS con saldos a favor de ADRES en el proceso LMA</v>
      </c>
      <c r="AJ56" s="39">
        <v>0</v>
      </c>
      <c r="AK56" s="54"/>
      <c r="AL56" s="42"/>
      <c r="AM56" s="40">
        <f t="shared" si="4"/>
        <v>0</v>
      </c>
      <c r="AN56" s="40" t="e">
        <f t="shared" si="5"/>
        <v>#DIV/0!</v>
      </c>
      <c r="AO56" s="40">
        <f t="shared" si="6"/>
        <v>0</v>
      </c>
      <c r="AP56" s="43" t="e">
        <f t="shared" si="7"/>
        <v>#DIV/0!</v>
      </c>
      <c r="AQ56" s="54">
        <v>1</v>
      </c>
      <c r="AR56" s="35" t="str">
        <f>+$J$56</f>
        <v>Solicitud de aclaraciones a las EPS con saldos a favor de ADRES en el proceso LMA</v>
      </c>
      <c r="AS56" s="39">
        <v>0</v>
      </c>
      <c r="AT56" s="54"/>
      <c r="AU56" s="42"/>
      <c r="AV56" s="40">
        <f t="shared" si="8"/>
        <v>0</v>
      </c>
      <c r="AW56" s="40" t="e">
        <f t="shared" si="9"/>
        <v>#DIV/0!</v>
      </c>
      <c r="AX56" s="40">
        <f t="shared" si="10"/>
        <v>0</v>
      </c>
      <c r="AY56" s="40" t="e">
        <f t="shared" si="11"/>
        <v>#DIV/0!</v>
      </c>
      <c r="AZ56" s="54">
        <v>1</v>
      </c>
      <c r="BA56" s="35" t="str">
        <f>+$J$56</f>
        <v>Solicitud de aclaraciones a las EPS con saldos a favor de ADRES en el proceso LMA</v>
      </c>
      <c r="BB56" s="39">
        <v>0</v>
      </c>
      <c r="BC56" s="47"/>
      <c r="BD56" s="42"/>
      <c r="BE56" s="40">
        <f t="shared" si="12"/>
        <v>0</v>
      </c>
      <c r="BF56" s="40" t="e">
        <f t="shared" si="13"/>
        <v>#DIV/0!</v>
      </c>
      <c r="BG56" s="40">
        <f t="shared" si="14"/>
        <v>0</v>
      </c>
      <c r="BH56" s="40" t="e">
        <f t="shared" si="15"/>
        <v>#DIV/0!</v>
      </c>
      <c r="BI56" s="44">
        <f t="shared" si="16"/>
        <v>0</v>
      </c>
      <c r="BJ56" s="44" t="str">
        <f t="shared" si="17"/>
        <v>No Prog ni Ejec</v>
      </c>
      <c r="BK56" s="44">
        <f t="shared" si="18"/>
        <v>0</v>
      </c>
      <c r="BL56" s="44" t="str">
        <f t="shared" si="19"/>
        <v>No Prog ni Ejec</v>
      </c>
      <c r="BM56" s="44">
        <f t="shared" si="20"/>
        <v>0</v>
      </c>
      <c r="BN56" s="44" t="str">
        <f t="shared" si="21"/>
        <v>No Prog ni Ejec</v>
      </c>
      <c r="BO56" s="44">
        <f t="shared" si="22"/>
        <v>0</v>
      </c>
      <c r="BP56" s="44" t="str">
        <f t="shared" si="23"/>
        <v>No Prog ni Ejec</v>
      </c>
      <c r="BQ56" s="42"/>
    </row>
    <row r="57" spans="1:69" s="45" customFormat="1" ht="90" x14ac:dyDescent="0.25">
      <c r="A57" s="34">
        <v>11400</v>
      </c>
      <c r="B57" s="35" t="str">
        <f>+VLOOKUP(A57,'[1]TAB. REF. PA'!$A$4:$B$14,2,FALSE)</f>
        <v>Dirección de Liquidaciones y Garantías</v>
      </c>
      <c r="C57" s="36" t="s">
        <v>188</v>
      </c>
      <c r="D57" s="35" t="s">
        <v>144</v>
      </c>
      <c r="E57" s="36" t="s">
        <v>495</v>
      </c>
      <c r="F57" s="35" t="s">
        <v>202</v>
      </c>
      <c r="G57" s="37" t="s">
        <v>124</v>
      </c>
      <c r="H57" s="36">
        <v>1</v>
      </c>
      <c r="I57" s="36" t="s">
        <v>496</v>
      </c>
      <c r="J57" s="38" t="s">
        <v>203</v>
      </c>
      <c r="K57" s="39">
        <v>0</v>
      </c>
      <c r="L57" s="40">
        <v>1</v>
      </c>
      <c r="M57" s="41" t="s">
        <v>46</v>
      </c>
      <c r="N57" s="41" t="s">
        <v>68</v>
      </c>
      <c r="O57" s="41" t="s">
        <v>34</v>
      </c>
      <c r="P57" s="41" t="s">
        <v>35</v>
      </c>
      <c r="Q57" s="41" t="s">
        <v>225</v>
      </c>
      <c r="R57" s="42"/>
      <c r="S57" s="41" t="s">
        <v>508</v>
      </c>
      <c r="T57" s="41" t="s">
        <v>99</v>
      </c>
      <c r="U57" s="53">
        <f t="shared" si="24"/>
        <v>1</v>
      </c>
      <c r="V57" s="35" t="str">
        <f>+$J$57</f>
        <v>No. De Compras de Carteras realizadas</v>
      </c>
      <c r="W57" s="39">
        <v>0</v>
      </c>
      <c r="X57" s="34" t="s">
        <v>117</v>
      </c>
      <c r="Y57" s="39">
        <v>0</v>
      </c>
      <c r="Z57" s="35" t="str">
        <f>+$J$57</f>
        <v>No. De Compras de Carteras realizadas</v>
      </c>
      <c r="AA57" s="39">
        <v>0</v>
      </c>
      <c r="AB57" s="42"/>
      <c r="AC57" s="42"/>
      <c r="AD57" s="40" t="e">
        <f t="shared" si="0"/>
        <v>#DIV/0!</v>
      </c>
      <c r="AE57" s="40" t="e">
        <f t="shared" si="1"/>
        <v>#DIV/0!</v>
      </c>
      <c r="AF57" s="40">
        <f t="shared" si="2"/>
        <v>0</v>
      </c>
      <c r="AG57" s="40" t="e">
        <f t="shared" si="3"/>
        <v>#DIV/0!</v>
      </c>
      <c r="AH57" s="39">
        <v>0</v>
      </c>
      <c r="AI57" s="35" t="str">
        <f>+$J$57</f>
        <v>No. De Compras de Carteras realizadas</v>
      </c>
      <c r="AJ57" s="39">
        <v>0</v>
      </c>
      <c r="AK57" s="39"/>
      <c r="AL57" s="42"/>
      <c r="AM57" s="40" t="e">
        <f t="shared" si="4"/>
        <v>#DIV/0!</v>
      </c>
      <c r="AN57" s="40" t="e">
        <f t="shared" si="5"/>
        <v>#DIV/0!</v>
      </c>
      <c r="AO57" s="40">
        <f t="shared" si="6"/>
        <v>0</v>
      </c>
      <c r="AP57" s="43" t="e">
        <f t="shared" si="7"/>
        <v>#DIV/0!</v>
      </c>
      <c r="AQ57" s="39">
        <v>0</v>
      </c>
      <c r="AR57" s="35" t="str">
        <f>+$J$57</f>
        <v>No. De Compras de Carteras realizadas</v>
      </c>
      <c r="AS57" s="39">
        <v>0</v>
      </c>
      <c r="AT57" s="47"/>
      <c r="AU57" s="42"/>
      <c r="AV57" s="40" t="e">
        <f t="shared" si="8"/>
        <v>#DIV/0!</v>
      </c>
      <c r="AW57" s="40" t="e">
        <f t="shared" si="9"/>
        <v>#DIV/0!</v>
      </c>
      <c r="AX57" s="40">
        <f t="shared" si="10"/>
        <v>0</v>
      </c>
      <c r="AY57" s="40" t="e">
        <f t="shared" si="11"/>
        <v>#DIV/0!</v>
      </c>
      <c r="AZ57" s="51">
        <v>1</v>
      </c>
      <c r="BA57" s="35" t="str">
        <f>+$J$57</f>
        <v>No. De Compras de Carteras realizadas</v>
      </c>
      <c r="BB57" s="39">
        <v>0</v>
      </c>
      <c r="BC57" s="47"/>
      <c r="BD57" s="42"/>
      <c r="BE57" s="40">
        <f t="shared" si="12"/>
        <v>0</v>
      </c>
      <c r="BF57" s="40" t="e">
        <f t="shared" si="13"/>
        <v>#DIV/0!</v>
      </c>
      <c r="BG57" s="40">
        <f t="shared" si="14"/>
        <v>0</v>
      </c>
      <c r="BH57" s="40" t="e">
        <f t="shared" si="15"/>
        <v>#DIV/0!</v>
      </c>
      <c r="BI57" s="44" t="str">
        <f t="shared" si="16"/>
        <v>No Prog ni Ejec</v>
      </c>
      <c r="BJ57" s="44" t="str">
        <f t="shared" si="17"/>
        <v>No Prog ni Ejec</v>
      </c>
      <c r="BK57" s="44" t="str">
        <f t="shared" si="18"/>
        <v>No Prog ni Ejec</v>
      </c>
      <c r="BL57" s="44" t="str">
        <f t="shared" si="19"/>
        <v>No Prog ni Ejec</v>
      </c>
      <c r="BM57" s="44" t="str">
        <f t="shared" si="20"/>
        <v>No Prog ni Ejec</v>
      </c>
      <c r="BN57" s="44" t="str">
        <f t="shared" si="21"/>
        <v>No Prog ni Ejec</v>
      </c>
      <c r="BO57" s="44">
        <f t="shared" si="22"/>
        <v>0</v>
      </c>
      <c r="BP57" s="44" t="str">
        <f t="shared" si="23"/>
        <v>No Prog ni Ejec</v>
      </c>
      <c r="BQ57" s="42"/>
    </row>
    <row r="58" spans="1:69" s="45" customFormat="1" ht="120" x14ac:dyDescent="0.25">
      <c r="A58" s="34">
        <v>11400</v>
      </c>
      <c r="B58" s="35" t="str">
        <f>+VLOOKUP(A58,'[1]TAB. REF. PA'!$A$4:$B$14,2,FALSE)</f>
        <v>Dirección de Liquidaciones y Garantías</v>
      </c>
      <c r="C58" s="36" t="s">
        <v>188</v>
      </c>
      <c r="D58" s="35" t="s">
        <v>144</v>
      </c>
      <c r="E58" s="36" t="s">
        <v>497</v>
      </c>
      <c r="F58" s="35" t="s">
        <v>204</v>
      </c>
      <c r="G58" s="37" t="s">
        <v>123</v>
      </c>
      <c r="H58" s="50">
        <v>1</v>
      </c>
      <c r="I58" s="36" t="s">
        <v>498</v>
      </c>
      <c r="J58" s="38" t="s">
        <v>205</v>
      </c>
      <c r="K58" s="39">
        <v>0</v>
      </c>
      <c r="L58" s="40">
        <v>1</v>
      </c>
      <c r="M58" s="41" t="s">
        <v>46</v>
      </c>
      <c r="N58" s="41" t="s">
        <v>68</v>
      </c>
      <c r="O58" s="41" t="s">
        <v>34</v>
      </c>
      <c r="P58" s="41" t="s">
        <v>35</v>
      </c>
      <c r="Q58" s="41" t="s">
        <v>225</v>
      </c>
      <c r="R58" s="42"/>
      <c r="S58" s="41" t="s">
        <v>509</v>
      </c>
      <c r="T58" s="41" t="s">
        <v>99</v>
      </c>
      <c r="U58" s="47">
        <v>1</v>
      </c>
      <c r="V58" s="35" t="str">
        <f>+$J$58</f>
        <v>Certificaciones remitidas</v>
      </c>
      <c r="W58" s="39">
        <v>0</v>
      </c>
      <c r="X58" s="34" t="s">
        <v>117</v>
      </c>
      <c r="Y58" s="54">
        <v>1</v>
      </c>
      <c r="Z58" s="35" t="str">
        <f>+$J$58</f>
        <v>Certificaciones remitidas</v>
      </c>
      <c r="AA58" s="39">
        <v>0</v>
      </c>
      <c r="AB58" s="42"/>
      <c r="AC58" s="42"/>
      <c r="AD58" s="40">
        <f t="shared" si="0"/>
        <v>0</v>
      </c>
      <c r="AE58" s="40" t="e">
        <f t="shared" si="1"/>
        <v>#DIV/0!</v>
      </c>
      <c r="AF58" s="40">
        <f t="shared" si="2"/>
        <v>0</v>
      </c>
      <c r="AG58" s="40" t="e">
        <f t="shared" si="3"/>
        <v>#DIV/0!</v>
      </c>
      <c r="AH58" s="54">
        <v>1</v>
      </c>
      <c r="AI58" s="35" t="str">
        <f>+$J$58</f>
        <v>Certificaciones remitidas</v>
      </c>
      <c r="AJ58" s="39">
        <v>0</v>
      </c>
      <c r="AK58" s="54"/>
      <c r="AL58" s="42"/>
      <c r="AM58" s="40">
        <f t="shared" si="4"/>
        <v>0</v>
      </c>
      <c r="AN58" s="40" t="e">
        <f t="shared" si="5"/>
        <v>#DIV/0!</v>
      </c>
      <c r="AO58" s="40">
        <f t="shared" si="6"/>
        <v>0</v>
      </c>
      <c r="AP58" s="43" t="e">
        <f t="shared" si="7"/>
        <v>#DIV/0!</v>
      </c>
      <c r="AQ58" s="54">
        <v>1</v>
      </c>
      <c r="AR58" s="35" t="str">
        <f>+$J$58</f>
        <v>Certificaciones remitidas</v>
      </c>
      <c r="AS58" s="39">
        <v>0</v>
      </c>
      <c r="AT58" s="54"/>
      <c r="AU58" s="42"/>
      <c r="AV58" s="40">
        <f t="shared" si="8"/>
        <v>0</v>
      </c>
      <c r="AW58" s="40" t="e">
        <f t="shared" si="9"/>
        <v>#DIV/0!</v>
      </c>
      <c r="AX58" s="40">
        <f t="shared" si="10"/>
        <v>0</v>
      </c>
      <c r="AY58" s="40" t="e">
        <f t="shared" si="11"/>
        <v>#DIV/0!</v>
      </c>
      <c r="AZ58" s="54">
        <v>1</v>
      </c>
      <c r="BA58" s="35" t="str">
        <f>+$J$58</f>
        <v>Certificaciones remitidas</v>
      </c>
      <c r="BB58" s="39">
        <v>0</v>
      </c>
      <c r="BC58" s="47"/>
      <c r="BD58" s="42"/>
      <c r="BE58" s="40">
        <f t="shared" si="12"/>
        <v>0</v>
      </c>
      <c r="BF58" s="40" t="e">
        <f t="shared" si="13"/>
        <v>#DIV/0!</v>
      </c>
      <c r="BG58" s="40">
        <f t="shared" si="14"/>
        <v>0</v>
      </c>
      <c r="BH58" s="40" t="e">
        <f t="shared" si="15"/>
        <v>#DIV/0!</v>
      </c>
      <c r="BI58" s="44">
        <f t="shared" si="16"/>
        <v>0</v>
      </c>
      <c r="BJ58" s="44" t="str">
        <f t="shared" si="17"/>
        <v>No Prog ni Ejec</v>
      </c>
      <c r="BK58" s="44">
        <f t="shared" si="18"/>
        <v>0</v>
      </c>
      <c r="BL58" s="44" t="str">
        <f t="shared" si="19"/>
        <v>No Prog ni Ejec</v>
      </c>
      <c r="BM58" s="44">
        <f t="shared" si="20"/>
        <v>0</v>
      </c>
      <c r="BN58" s="44" t="str">
        <f t="shared" si="21"/>
        <v>No Prog ni Ejec</v>
      </c>
      <c r="BO58" s="44">
        <f t="shared" si="22"/>
        <v>0</v>
      </c>
      <c r="BP58" s="44" t="str">
        <f t="shared" si="23"/>
        <v>No Prog ni Ejec</v>
      </c>
      <c r="BQ58" s="42"/>
    </row>
    <row r="59" spans="1:69" s="45" customFormat="1" ht="120" x14ac:dyDescent="0.25">
      <c r="A59" s="34">
        <v>11400</v>
      </c>
      <c r="B59" s="35" t="str">
        <f>+VLOOKUP(A59,'[1]TAB. REF. PA'!$A$4:$B$14,2,FALSE)</f>
        <v>Dirección de Liquidaciones y Garantías</v>
      </c>
      <c r="C59" s="36" t="s">
        <v>239</v>
      </c>
      <c r="D59" s="35" t="s">
        <v>144</v>
      </c>
      <c r="E59" s="36" t="s">
        <v>499</v>
      </c>
      <c r="F59" s="35" t="s">
        <v>206</v>
      </c>
      <c r="G59" s="37" t="s">
        <v>123</v>
      </c>
      <c r="H59" s="50">
        <v>1</v>
      </c>
      <c r="I59" s="36" t="s">
        <v>500</v>
      </c>
      <c r="J59" s="38" t="s">
        <v>205</v>
      </c>
      <c r="K59" s="39">
        <v>0</v>
      </c>
      <c r="L59" s="40">
        <v>1</v>
      </c>
      <c r="M59" s="41" t="s">
        <v>46</v>
      </c>
      <c r="N59" s="41" t="s">
        <v>68</v>
      </c>
      <c r="O59" s="41" t="s">
        <v>34</v>
      </c>
      <c r="P59" s="41" t="s">
        <v>35</v>
      </c>
      <c r="Q59" s="41" t="s">
        <v>225</v>
      </c>
      <c r="R59" s="42"/>
      <c r="S59" s="41" t="s">
        <v>509</v>
      </c>
      <c r="T59" s="41" t="s">
        <v>99</v>
      </c>
      <c r="U59" s="47">
        <v>1</v>
      </c>
      <c r="V59" s="35" t="str">
        <f>+$J$59</f>
        <v>Certificaciones remitidas</v>
      </c>
      <c r="W59" s="39">
        <v>0</v>
      </c>
      <c r="X59" s="34" t="s">
        <v>117</v>
      </c>
      <c r="Y59" s="54">
        <v>1</v>
      </c>
      <c r="Z59" s="35" t="str">
        <f>+$J$59</f>
        <v>Certificaciones remitidas</v>
      </c>
      <c r="AA59" s="39">
        <v>0</v>
      </c>
      <c r="AB59" s="42"/>
      <c r="AC59" s="42"/>
      <c r="AD59" s="40">
        <f t="shared" si="0"/>
        <v>0</v>
      </c>
      <c r="AE59" s="40" t="e">
        <f t="shared" si="1"/>
        <v>#DIV/0!</v>
      </c>
      <c r="AF59" s="40">
        <f t="shared" si="2"/>
        <v>0</v>
      </c>
      <c r="AG59" s="40" t="e">
        <f t="shared" si="3"/>
        <v>#DIV/0!</v>
      </c>
      <c r="AH59" s="54">
        <v>1</v>
      </c>
      <c r="AI59" s="35" t="str">
        <f>+$J$59</f>
        <v>Certificaciones remitidas</v>
      </c>
      <c r="AJ59" s="39">
        <v>0</v>
      </c>
      <c r="AK59" s="54"/>
      <c r="AL59" s="42"/>
      <c r="AM59" s="40">
        <f t="shared" si="4"/>
        <v>0</v>
      </c>
      <c r="AN59" s="40" t="e">
        <f t="shared" si="5"/>
        <v>#DIV/0!</v>
      </c>
      <c r="AO59" s="40">
        <f t="shared" si="6"/>
        <v>0</v>
      </c>
      <c r="AP59" s="43" t="e">
        <f t="shared" si="7"/>
        <v>#DIV/0!</v>
      </c>
      <c r="AQ59" s="54">
        <v>1</v>
      </c>
      <c r="AR59" s="35" t="str">
        <f>+$J$59</f>
        <v>Certificaciones remitidas</v>
      </c>
      <c r="AS59" s="39">
        <v>0</v>
      </c>
      <c r="AT59" s="54"/>
      <c r="AU59" s="42"/>
      <c r="AV59" s="40">
        <f t="shared" si="8"/>
        <v>0</v>
      </c>
      <c r="AW59" s="40" t="e">
        <f t="shared" si="9"/>
        <v>#DIV/0!</v>
      </c>
      <c r="AX59" s="40">
        <f t="shared" si="10"/>
        <v>0</v>
      </c>
      <c r="AY59" s="40" t="e">
        <f t="shared" si="11"/>
        <v>#DIV/0!</v>
      </c>
      <c r="AZ59" s="54">
        <v>1</v>
      </c>
      <c r="BA59" s="35" t="str">
        <f>+$J$59</f>
        <v>Certificaciones remitidas</v>
      </c>
      <c r="BB59" s="39">
        <v>0</v>
      </c>
      <c r="BC59" s="47"/>
      <c r="BD59" s="42"/>
      <c r="BE59" s="40">
        <f t="shared" si="12"/>
        <v>0</v>
      </c>
      <c r="BF59" s="40" t="e">
        <f t="shared" si="13"/>
        <v>#DIV/0!</v>
      </c>
      <c r="BG59" s="40">
        <f t="shared" si="14"/>
        <v>0</v>
      </c>
      <c r="BH59" s="40" t="e">
        <f t="shared" si="15"/>
        <v>#DIV/0!</v>
      </c>
      <c r="BI59" s="44">
        <f t="shared" si="16"/>
        <v>0</v>
      </c>
      <c r="BJ59" s="44" t="str">
        <f t="shared" si="17"/>
        <v>No Prog ni Ejec</v>
      </c>
      <c r="BK59" s="44">
        <f t="shared" si="18"/>
        <v>0</v>
      </c>
      <c r="BL59" s="44" t="str">
        <f t="shared" si="19"/>
        <v>No Prog ni Ejec</v>
      </c>
      <c r="BM59" s="44">
        <f t="shared" si="20"/>
        <v>0</v>
      </c>
      <c r="BN59" s="44" t="str">
        <f t="shared" si="21"/>
        <v>No Prog ni Ejec</v>
      </c>
      <c r="BO59" s="44">
        <f t="shared" si="22"/>
        <v>0</v>
      </c>
      <c r="BP59" s="44" t="str">
        <f t="shared" si="23"/>
        <v>No Prog ni Ejec</v>
      </c>
      <c r="BQ59" s="42"/>
    </row>
    <row r="60" spans="1:69" s="45" customFormat="1" ht="120" x14ac:dyDescent="0.25">
      <c r="A60" s="34">
        <v>11400</v>
      </c>
      <c r="B60" s="35" t="str">
        <f>+VLOOKUP(A60,'[1]TAB. REF. PA'!$A$4:$B$14,2,FALSE)</f>
        <v>Dirección de Liquidaciones y Garantías</v>
      </c>
      <c r="C60" s="36" t="s">
        <v>240</v>
      </c>
      <c r="D60" s="35" t="s">
        <v>144</v>
      </c>
      <c r="E60" s="36" t="s">
        <v>501</v>
      </c>
      <c r="F60" s="35" t="s">
        <v>207</v>
      </c>
      <c r="G60" s="37" t="s">
        <v>123</v>
      </c>
      <c r="H60" s="50">
        <v>1</v>
      </c>
      <c r="I60" s="36" t="s">
        <v>502</v>
      </c>
      <c r="J60" s="38" t="s">
        <v>205</v>
      </c>
      <c r="K60" s="39">
        <v>0</v>
      </c>
      <c r="L60" s="40">
        <v>1</v>
      </c>
      <c r="M60" s="41" t="s">
        <v>46</v>
      </c>
      <c r="N60" s="41" t="s">
        <v>68</v>
      </c>
      <c r="O60" s="41" t="s">
        <v>34</v>
      </c>
      <c r="P60" s="41" t="s">
        <v>35</v>
      </c>
      <c r="Q60" s="41" t="s">
        <v>225</v>
      </c>
      <c r="R60" s="42"/>
      <c r="S60" s="41" t="s">
        <v>509</v>
      </c>
      <c r="T60" s="41" t="s">
        <v>99</v>
      </c>
      <c r="U60" s="47">
        <v>1</v>
      </c>
      <c r="V60" s="35" t="str">
        <f>+$J$60</f>
        <v>Certificaciones remitidas</v>
      </c>
      <c r="W60" s="39">
        <v>0</v>
      </c>
      <c r="X60" s="34" t="s">
        <v>117</v>
      </c>
      <c r="Y60" s="54">
        <v>1</v>
      </c>
      <c r="Z60" s="35" t="str">
        <f>+$J$60</f>
        <v>Certificaciones remitidas</v>
      </c>
      <c r="AA60" s="39">
        <v>0</v>
      </c>
      <c r="AB60" s="54"/>
      <c r="AC60" s="42"/>
      <c r="AD60" s="40">
        <f t="shared" si="0"/>
        <v>0</v>
      </c>
      <c r="AE60" s="40" t="e">
        <f t="shared" si="1"/>
        <v>#DIV/0!</v>
      </c>
      <c r="AF60" s="40">
        <f t="shared" si="2"/>
        <v>0</v>
      </c>
      <c r="AG60" s="40" t="e">
        <f t="shared" si="3"/>
        <v>#DIV/0!</v>
      </c>
      <c r="AH60" s="54">
        <v>1</v>
      </c>
      <c r="AI60" s="35" t="str">
        <f>+$J$60</f>
        <v>Certificaciones remitidas</v>
      </c>
      <c r="AJ60" s="39">
        <v>0</v>
      </c>
      <c r="AK60" s="54"/>
      <c r="AL60" s="42"/>
      <c r="AM60" s="40">
        <f t="shared" si="4"/>
        <v>0</v>
      </c>
      <c r="AN60" s="40" t="e">
        <f t="shared" si="5"/>
        <v>#DIV/0!</v>
      </c>
      <c r="AO60" s="40">
        <f t="shared" si="6"/>
        <v>0</v>
      </c>
      <c r="AP60" s="43" t="e">
        <f t="shared" si="7"/>
        <v>#DIV/0!</v>
      </c>
      <c r="AQ60" s="54">
        <v>1</v>
      </c>
      <c r="AR60" s="35" t="str">
        <f>+$J$60</f>
        <v>Certificaciones remitidas</v>
      </c>
      <c r="AS60" s="39">
        <v>0</v>
      </c>
      <c r="AT60" s="54"/>
      <c r="AU60" s="42"/>
      <c r="AV60" s="40">
        <f t="shared" si="8"/>
        <v>0</v>
      </c>
      <c r="AW60" s="40" t="e">
        <f t="shared" si="9"/>
        <v>#DIV/0!</v>
      </c>
      <c r="AX60" s="40">
        <f t="shared" si="10"/>
        <v>0</v>
      </c>
      <c r="AY60" s="40" t="e">
        <f t="shared" si="11"/>
        <v>#DIV/0!</v>
      </c>
      <c r="AZ60" s="54">
        <v>1</v>
      </c>
      <c r="BA60" s="35" t="str">
        <f>+$J$60</f>
        <v>Certificaciones remitidas</v>
      </c>
      <c r="BB60" s="39">
        <v>0</v>
      </c>
      <c r="BC60" s="47"/>
      <c r="BD60" s="42"/>
      <c r="BE60" s="40">
        <f t="shared" si="12"/>
        <v>0</v>
      </c>
      <c r="BF60" s="40" t="e">
        <f t="shared" si="13"/>
        <v>#DIV/0!</v>
      </c>
      <c r="BG60" s="40">
        <f t="shared" si="14"/>
        <v>0</v>
      </c>
      <c r="BH60" s="40" t="e">
        <f t="shared" si="15"/>
        <v>#DIV/0!</v>
      </c>
      <c r="BI60" s="44">
        <f t="shared" si="16"/>
        <v>0</v>
      </c>
      <c r="BJ60" s="44" t="str">
        <f t="shared" si="17"/>
        <v>No Prog ni Ejec</v>
      </c>
      <c r="BK60" s="44">
        <f t="shared" si="18"/>
        <v>0</v>
      </c>
      <c r="BL60" s="44" t="str">
        <f t="shared" si="19"/>
        <v>No Prog ni Ejec</v>
      </c>
      <c r="BM60" s="44">
        <f t="shared" si="20"/>
        <v>0</v>
      </c>
      <c r="BN60" s="44" t="str">
        <f t="shared" si="21"/>
        <v>No Prog ni Ejec</v>
      </c>
      <c r="BO60" s="44">
        <f t="shared" si="22"/>
        <v>0</v>
      </c>
      <c r="BP60" s="44" t="str">
        <f t="shared" si="23"/>
        <v>No Prog ni Ejec</v>
      </c>
      <c r="BQ60" s="42"/>
    </row>
    <row r="61" spans="1:69" s="45" customFormat="1" ht="120" x14ac:dyDescent="0.25">
      <c r="A61" s="34">
        <v>11400</v>
      </c>
      <c r="B61" s="35" t="str">
        <f>+VLOOKUP(A61,'[1]TAB. REF. PA'!$A$4:$B$14,2,FALSE)</f>
        <v>Dirección de Liquidaciones y Garantías</v>
      </c>
      <c r="C61" s="36" t="s">
        <v>241</v>
      </c>
      <c r="D61" s="35" t="s">
        <v>144</v>
      </c>
      <c r="E61" s="36" t="s">
        <v>503</v>
      </c>
      <c r="F61" s="35" t="s">
        <v>208</v>
      </c>
      <c r="G61" s="37" t="s">
        <v>123</v>
      </c>
      <c r="H61" s="50">
        <v>1</v>
      </c>
      <c r="I61" s="36" t="s">
        <v>504</v>
      </c>
      <c r="J61" s="38" t="s">
        <v>205</v>
      </c>
      <c r="K61" s="39">
        <v>0</v>
      </c>
      <c r="L61" s="40">
        <v>1</v>
      </c>
      <c r="M61" s="41" t="s">
        <v>46</v>
      </c>
      <c r="N61" s="41" t="s">
        <v>68</v>
      </c>
      <c r="O61" s="41" t="s">
        <v>34</v>
      </c>
      <c r="P61" s="41" t="s">
        <v>35</v>
      </c>
      <c r="Q61" s="41" t="s">
        <v>225</v>
      </c>
      <c r="R61" s="42"/>
      <c r="S61" s="41" t="s">
        <v>509</v>
      </c>
      <c r="T61" s="41" t="s">
        <v>99</v>
      </c>
      <c r="U61" s="47">
        <v>1</v>
      </c>
      <c r="V61" s="35" t="str">
        <f>+$J$61</f>
        <v>Certificaciones remitidas</v>
      </c>
      <c r="W61" s="39">
        <v>0</v>
      </c>
      <c r="X61" s="34" t="s">
        <v>117</v>
      </c>
      <c r="Y61" s="54">
        <v>1</v>
      </c>
      <c r="Z61" s="35" t="str">
        <f>+$J$61</f>
        <v>Certificaciones remitidas</v>
      </c>
      <c r="AA61" s="39">
        <v>0</v>
      </c>
      <c r="AB61" s="42"/>
      <c r="AC61" s="42"/>
      <c r="AD61" s="40">
        <f t="shared" si="0"/>
        <v>0</v>
      </c>
      <c r="AE61" s="40" t="e">
        <f t="shared" si="1"/>
        <v>#DIV/0!</v>
      </c>
      <c r="AF61" s="40">
        <f t="shared" si="2"/>
        <v>0</v>
      </c>
      <c r="AG61" s="40" t="e">
        <f t="shared" si="3"/>
        <v>#DIV/0!</v>
      </c>
      <c r="AH61" s="54">
        <v>1</v>
      </c>
      <c r="AI61" s="35" t="str">
        <f>+$J$61</f>
        <v>Certificaciones remitidas</v>
      </c>
      <c r="AJ61" s="39">
        <v>0</v>
      </c>
      <c r="AK61" s="47"/>
      <c r="AL61" s="42"/>
      <c r="AM61" s="40">
        <f t="shared" si="4"/>
        <v>0</v>
      </c>
      <c r="AN61" s="40" t="e">
        <f t="shared" si="5"/>
        <v>#DIV/0!</v>
      </c>
      <c r="AO61" s="40">
        <f t="shared" si="6"/>
        <v>0</v>
      </c>
      <c r="AP61" s="43" t="e">
        <f t="shared" si="7"/>
        <v>#DIV/0!</v>
      </c>
      <c r="AQ61" s="54">
        <v>1</v>
      </c>
      <c r="AR61" s="35" t="str">
        <f>+$J$61</f>
        <v>Certificaciones remitidas</v>
      </c>
      <c r="AS61" s="39">
        <v>0</v>
      </c>
      <c r="AT61" s="47"/>
      <c r="AU61" s="42"/>
      <c r="AV61" s="40">
        <f t="shared" si="8"/>
        <v>0</v>
      </c>
      <c r="AW61" s="40" t="e">
        <f t="shared" si="9"/>
        <v>#DIV/0!</v>
      </c>
      <c r="AX61" s="40">
        <f t="shared" si="10"/>
        <v>0</v>
      </c>
      <c r="AY61" s="40" t="e">
        <f t="shared" si="11"/>
        <v>#DIV/0!</v>
      </c>
      <c r="AZ61" s="54">
        <v>1</v>
      </c>
      <c r="BA61" s="35" t="str">
        <f>+$J$61</f>
        <v>Certificaciones remitidas</v>
      </c>
      <c r="BB61" s="39">
        <v>0</v>
      </c>
      <c r="BC61" s="47"/>
      <c r="BD61" s="42"/>
      <c r="BE61" s="40">
        <f t="shared" si="12"/>
        <v>0</v>
      </c>
      <c r="BF61" s="40" t="e">
        <f t="shared" si="13"/>
        <v>#DIV/0!</v>
      </c>
      <c r="BG61" s="40">
        <f t="shared" si="14"/>
        <v>0</v>
      </c>
      <c r="BH61" s="40" t="e">
        <f t="shared" si="15"/>
        <v>#DIV/0!</v>
      </c>
      <c r="BI61" s="44">
        <f t="shared" si="16"/>
        <v>0</v>
      </c>
      <c r="BJ61" s="44" t="str">
        <f t="shared" si="17"/>
        <v>No Prog ni Ejec</v>
      </c>
      <c r="BK61" s="44">
        <f t="shared" si="18"/>
        <v>0</v>
      </c>
      <c r="BL61" s="44" t="str">
        <f t="shared" si="19"/>
        <v>No Prog ni Ejec</v>
      </c>
      <c r="BM61" s="44">
        <f t="shared" si="20"/>
        <v>0</v>
      </c>
      <c r="BN61" s="44" t="str">
        <f t="shared" si="21"/>
        <v>No Prog ni Ejec</v>
      </c>
      <c r="BO61" s="44">
        <f t="shared" si="22"/>
        <v>0</v>
      </c>
      <c r="BP61" s="44" t="str">
        <f t="shared" si="23"/>
        <v>No Prog ni Ejec</v>
      </c>
      <c r="BQ61" s="42"/>
    </row>
    <row r="62" spans="1:69" s="45" customFormat="1" ht="105" x14ac:dyDescent="0.25">
      <c r="A62" s="34">
        <v>11400</v>
      </c>
      <c r="B62" s="35" t="str">
        <f>+VLOOKUP(A62,'[1]TAB. REF. PA'!$A$4:$B$14,2,FALSE)</f>
        <v>Dirección de Liquidaciones y Garantías</v>
      </c>
      <c r="C62" s="36" t="s">
        <v>242</v>
      </c>
      <c r="D62" s="35" t="s">
        <v>144</v>
      </c>
      <c r="E62" s="36" t="s">
        <v>505</v>
      </c>
      <c r="F62" s="35" t="s">
        <v>243</v>
      </c>
      <c r="G62" s="37" t="s">
        <v>124</v>
      </c>
      <c r="H62" s="34">
        <v>2</v>
      </c>
      <c r="I62" s="36" t="s">
        <v>506</v>
      </c>
      <c r="J62" s="38" t="s">
        <v>244</v>
      </c>
      <c r="K62" s="39">
        <v>55000000</v>
      </c>
      <c r="L62" s="40">
        <v>1</v>
      </c>
      <c r="M62" s="41" t="s">
        <v>46</v>
      </c>
      <c r="N62" s="41" t="s">
        <v>68</v>
      </c>
      <c r="O62" s="41" t="s">
        <v>34</v>
      </c>
      <c r="P62" s="41" t="s">
        <v>36</v>
      </c>
      <c r="Q62" s="41"/>
      <c r="R62" s="42"/>
      <c r="S62" s="41" t="s">
        <v>510</v>
      </c>
      <c r="T62" s="41" t="s">
        <v>99</v>
      </c>
      <c r="U62" s="53">
        <v>2</v>
      </c>
      <c r="V62" s="35" t="str">
        <f>+$J$62</f>
        <v>Elaboración de Estudios del Sector</v>
      </c>
      <c r="W62" s="39">
        <f>+K62</f>
        <v>55000000</v>
      </c>
      <c r="X62" s="34" t="s">
        <v>114</v>
      </c>
      <c r="Y62" s="51">
        <v>0</v>
      </c>
      <c r="Z62" s="35" t="str">
        <f>+$J$62</f>
        <v>Elaboración de Estudios del Sector</v>
      </c>
      <c r="AA62" s="39">
        <v>55000000</v>
      </c>
      <c r="AB62" s="42"/>
      <c r="AC62" s="39"/>
      <c r="AD62" s="40" t="e">
        <f t="shared" si="0"/>
        <v>#DIV/0!</v>
      </c>
      <c r="AE62" s="40">
        <f t="shared" si="1"/>
        <v>0</v>
      </c>
      <c r="AF62" s="40">
        <f t="shared" si="2"/>
        <v>0</v>
      </c>
      <c r="AG62" s="40">
        <f t="shared" si="3"/>
        <v>0</v>
      </c>
      <c r="AH62" s="53">
        <v>1</v>
      </c>
      <c r="AI62" s="35" t="str">
        <f>+$J$62</f>
        <v>Elaboración de Estudios del Sector</v>
      </c>
      <c r="AJ62" s="39">
        <v>0</v>
      </c>
      <c r="AK62" s="42"/>
      <c r="AL62" s="42"/>
      <c r="AM62" s="40">
        <f t="shared" si="4"/>
        <v>0</v>
      </c>
      <c r="AN62" s="40" t="e">
        <f t="shared" si="5"/>
        <v>#DIV/0!</v>
      </c>
      <c r="AO62" s="40">
        <f t="shared" si="6"/>
        <v>0</v>
      </c>
      <c r="AP62" s="43">
        <f t="shared" si="7"/>
        <v>0</v>
      </c>
      <c r="AQ62" s="53">
        <v>0</v>
      </c>
      <c r="AR62" s="35" t="str">
        <f>+$J$62</f>
        <v>Elaboración de Estudios del Sector</v>
      </c>
      <c r="AS62" s="39">
        <v>0</v>
      </c>
      <c r="AT62" s="53"/>
      <c r="AU62" s="42"/>
      <c r="AV62" s="40" t="e">
        <f t="shared" si="8"/>
        <v>#DIV/0!</v>
      </c>
      <c r="AW62" s="40" t="e">
        <f t="shared" si="9"/>
        <v>#DIV/0!</v>
      </c>
      <c r="AX62" s="40">
        <f t="shared" si="10"/>
        <v>0</v>
      </c>
      <c r="AY62" s="40">
        <f t="shared" si="11"/>
        <v>0</v>
      </c>
      <c r="AZ62" s="51">
        <v>1</v>
      </c>
      <c r="BA62" s="35" t="str">
        <f>+$J$62</f>
        <v>Elaboración de Estudios del Sector</v>
      </c>
      <c r="BB62" s="39">
        <v>0</v>
      </c>
      <c r="BC62" s="51"/>
      <c r="BD62" s="42"/>
      <c r="BE62" s="40">
        <f t="shared" si="12"/>
        <v>0</v>
      </c>
      <c r="BF62" s="40" t="e">
        <f t="shared" si="13"/>
        <v>#DIV/0!</v>
      </c>
      <c r="BG62" s="40">
        <f t="shared" si="14"/>
        <v>0</v>
      </c>
      <c r="BH62" s="40">
        <f t="shared" si="15"/>
        <v>0</v>
      </c>
      <c r="BI62" s="44" t="str">
        <f t="shared" si="16"/>
        <v>No Prog ni Ejec</v>
      </c>
      <c r="BJ62" s="44">
        <f t="shared" si="17"/>
        <v>0</v>
      </c>
      <c r="BK62" s="44">
        <f t="shared" si="18"/>
        <v>0</v>
      </c>
      <c r="BL62" s="44" t="str">
        <f t="shared" si="19"/>
        <v>No Prog ni Ejec</v>
      </c>
      <c r="BM62" s="44" t="str">
        <f t="shared" si="20"/>
        <v>No Prog ni Ejec</v>
      </c>
      <c r="BN62" s="44" t="str">
        <f t="shared" si="21"/>
        <v>No Prog ni Ejec</v>
      </c>
      <c r="BO62" s="44">
        <f t="shared" si="22"/>
        <v>0</v>
      </c>
      <c r="BP62" s="44" t="str">
        <f t="shared" si="23"/>
        <v>No Prog ni Ejec</v>
      </c>
      <c r="BQ62" s="42"/>
    </row>
    <row r="63" spans="1:69" s="73" customFormat="1" ht="105" x14ac:dyDescent="0.25">
      <c r="A63" s="62">
        <v>11500</v>
      </c>
      <c r="B63" s="63" t="str">
        <f>+VLOOKUP(A63,'[1]TAB. REF. PA'!$A$4:$B$14,2,FALSE)</f>
        <v xml:space="preserve">Dirección de Otras Prestaciones  </v>
      </c>
      <c r="C63" s="64" t="s">
        <v>259</v>
      </c>
      <c r="D63" s="63" t="s">
        <v>153</v>
      </c>
      <c r="E63" s="64" t="s">
        <v>290</v>
      </c>
      <c r="F63" s="63" t="s">
        <v>133</v>
      </c>
      <c r="G63" s="65" t="s">
        <v>124</v>
      </c>
      <c r="H63" s="64">
        <v>4</v>
      </c>
      <c r="I63" s="64" t="s">
        <v>276</v>
      </c>
      <c r="J63" s="66" t="s">
        <v>24</v>
      </c>
      <c r="K63" s="67">
        <v>0</v>
      </c>
      <c r="L63" s="68">
        <v>1</v>
      </c>
      <c r="M63" s="69" t="s">
        <v>51</v>
      </c>
      <c r="N63" s="69" t="s">
        <v>68</v>
      </c>
      <c r="O63" s="69" t="s">
        <v>21</v>
      </c>
      <c r="P63" s="69" t="s">
        <v>36</v>
      </c>
      <c r="Q63" s="69" t="s">
        <v>75</v>
      </c>
      <c r="R63" s="70"/>
      <c r="S63" s="69" t="s">
        <v>631</v>
      </c>
      <c r="T63" s="69" t="s">
        <v>98</v>
      </c>
      <c r="U63" s="62">
        <v>4</v>
      </c>
      <c r="V63" s="63" t="str">
        <f>+$J$63</f>
        <v>Reportar el cumplimiento del Plan de Acción de la Dependencia</v>
      </c>
      <c r="W63" s="67">
        <v>0</v>
      </c>
      <c r="X63" s="62" t="s">
        <v>117</v>
      </c>
      <c r="Y63" s="62">
        <v>1</v>
      </c>
      <c r="Z63" s="63" t="str">
        <f>+$J$63</f>
        <v>Reportar el cumplimiento del Plan de Acción de la Dependencia</v>
      </c>
      <c r="AA63" s="67">
        <v>0</v>
      </c>
      <c r="AB63" s="70"/>
      <c r="AC63" s="70"/>
      <c r="AD63" s="68">
        <f t="shared" si="0"/>
        <v>0</v>
      </c>
      <c r="AE63" s="68" t="e">
        <f t="shared" si="1"/>
        <v>#DIV/0!</v>
      </c>
      <c r="AF63" s="68">
        <f t="shared" si="2"/>
        <v>0</v>
      </c>
      <c r="AG63" s="68" t="e">
        <f t="shared" si="3"/>
        <v>#DIV/0!</v>
      </c>
      <c r="AH63" s="62">
        <v>1</v>
      </c>
      <c r="AI63" s="63" t="str">
        <f>+$J$63</f>
        <v>Reportar el cumplimiento del Plan de Acción de la Dependencia</v>
      </c>
      <c r="AJ63" s="67">
        <v>0</v>
      </c>
      <c r="AK63" s="70"/>
      <c r="AL63" s="70"/>
      <c r="AM63" s="68">
        <f t="shared" si="4"/>
        <v>0</v>
      </c>
      <c r="AN63" s="68" t="e">
        <f t="shared" si="5"/>
        <v>#DIV/0!</v>
      </c>
      <c r="AO63" s="68">
        <f t="shared" si="6"/>
        <v>0</v>
      </c>
      <c r="AP63" s="71" t="e">
        <f t="shared" si="7"/>
        <v>#DIV/0!</v>
      </c>
      <c r="AQ63" s="62">
        <v>1</v>
      </c>
      <c r="AR63" s="63" t="str">
        <f>+$J$63</f>
        <v>Reportar el cumplimiento del Plan de Acción de la Dependencia</v>
      </c>
      <c r="AS63" s="67">
        <v>0</v>
      </c>
      <c r="AT63" s="70"/>
      <c r="AU63" s="70"/>
      <c r="AV63" s="68">
        <f t="shared" si="8"/>
        <v>0</v>
      </c>
      <c r="AW63" s="68" t="e">
        <f t="shared" si="9"/>
        <v>#DIV/0!</v>
      </c>
      <c r="AX63" s="68">
        <f t="shared" si="10"/>
        <v>0</v>
      </c>
      <c r="AY63" s="68" t="e">
        <f t="shared" si="11"/>
        <v>#DIV/0!</v>
      </c>
      <c r="AZ63" s="62">
        <v>1</v>
      </c>
      <c r="BA63" s="63" t="str">
        <f>+$J$63</f>
        <v>Reportar el cumplimiento del Plan de Acción de la Dependencia</v>
      </c>
      <c r="BB63" s="67">
        <v>0</v>
      </c>
      <c r="BC63" s="70"/>
      <c r="BD63" s="70"/>
      <c r="BE63" s="68">
        <f t="shared" si="12"/>
        <v>0</v>
      </c>
      <c r="BF63" s="68" t="e">
        <f t="shared" si="13"/>
        <v>#DIV/0!</v>
      </c>
      <c r="BG63" s="68">
        <f t="shared" si="14"/>
        <v>0</v>
      </c>
      <c r="BH63" s="68" t="e">
        <f t="shared" si="15"/>
        <v>#DIV/0!</v>
      </c>
      <c r="BI63" s="72">
        <f t="shared" si="16"/>
        <v>0</v>
      </c>
      <c r="BJ63" s="72" t="str">
        <f t="shared" si="17"/>
        <v>No Prog ni Ejec</v>
      </c>
      <c r="BK63" s="72">
        <f t="shared" si="18"/>
        <v>0</v>
      </c>
      <c r="BL63" s="72" t="str">
        <f t="shared" si="19"/>
        <v>No Prog ni Ejec</v>
      </c>
      <c r="BM63" s="72">
        <f t="shared" si="20"/>
        <v>0</v>
      </c>
      <c r="BN63" s="72" t="str">
        <f t="shared" si="21"/>
        <v>No Prog ni Ejec</v>
      </c>
      <c r="BO63" s="72">
        <f t="shared" si="22"/>
        <v>0</v>
      </c>
      <c r="BP63" s="72" t="str">
        <f t="shared" si="23"/>
        <v>No Prog ni Ejec</v>
      </c>
      <c r="BQ63" s="70"/>
    </row>
    <row r="64" spans="1:69" s="73" customFormat="1" ht="105" x14ac:dyDescent="0.25">
      <c r="A64" s="62">
        <v>11500</v>
      </c>
      <c r="B64" s="63" t="str">
        <f>+VLOOKUP(A64,'[1]TAB. REF. PA'!$A$4:$B$14,2,FALSE)</f>
        <v xml:space="preserve">Dirección de Otras Prestaciones  </v>
      </c>
      <c r="C64" s="64" t="s">
        <v>260</v>
      </c>
      <c r="D64" s="63" t="s">
        <v>256</v>
      </c>
      <c r="E64" s="64" t="s">
        <v>261</v>
      </c>
      <c r="F64" s="63" t="s">
        <v>159</v>
      </c>
      <c r="G64" s="65" t="s">
        <v>123</v>
      </c>
      <c r="H64" s="74">
        <v>1</v>
      </c>
      <c r="I64" s="64" t="s">
        <v>274</v>
      </c>
      <c r="J64" s="66" t="s">
        <v>598</v>
      </c>
      <c r="K64" s="67">
        <v>0</v>
      </c>
      <c r="L64" s="68">
        <v>1</v>
      </c>
      <c r="M64" s="69" t="s">
        <v>51</v>
      </c>
      <c r="N64" s="69" t="s">
        <v>68</v>
      </c>
      <c r="O64" s="69" t="s">
        <v>21</v>
      </c>
      <c r="P64" s="69" t="s">
        <v>36</v>
      </c>
      <c r="Q64" s="69" t="s">
        <v>75</v>
      </c>
      <c r="R64" s="70"/>
      <c r="S64" s="69" t="s">
        <v>672</v>
      </c>
      <c r="T64" s="69" t="s">
        <v>98</v>
      </c>
      <c r="U64" s="68">
        <v>1</v>
      </c>
      <c r="V64" s="63" t="str">
        <f>+$J$64</f>
        <v>Formular los procesos y procedimientos en el marco del MIPG</v>
      </c>
      <c r="W64" s="67">
        <v>0</v>
      </c>
      <c r="X64" s="62" t="s">
        <v>117</v>
      </c>
      <c r="Y64" s="68">
        <v>0.25</v>
      </c>
      <c r="Z64" s="63" t="str">
        <f>+$J$64</f>
        <v>Formular los procesos y procedimientos en el marco del MIPG</v>
      </c>
      <c r="AA64" s="67">
        <v>0</v>
      </c>
      <c r="AB64" s="68">
        <v>0.25</v>
      </c>
      <c r="AC64" s="70"/>
      <c r="AD64" s="68">
        <f t="shared" si="0"/>
        <v>1</v>
      </c>
      <c r="AE64" s="68" t="e">
        <f t="shared" si="1"/>
        <v>#DIV/0!</v>
      </c>
      <c r="AF64" s="68">
        <f t="shared" si="2"/>
        <v>0.25</v>
      </c>
      <c r="AG64" s="68" t="e">
        <f t="shared" si="3"/>
        <v>#DIV/0!</v>
      </c>
      <c r="AH64" s="68">
        <v>0.25</v>
      </c>
      <c r="AI64" s="63" t="str">
        <f>+$J$64</f>
        <v>Formular los procesos y procedimientos en el marco del MIPG</v>
      </c>
      <c r="AJ64" s="67">
        <v>0</v>
      </c>
      <c r="AK64" s="70"/>
      <c r="AL64" s="70"/>
      <c r="AM64" s="68">
        <f t="shared" si="4"/>
        <v>0</v>
      </c>
      <c r="AN64" s="68" t="e">
        <f t="shared" si="5"/>
        <v>#DIV/0!</v>
      </c>
      <c r="AO64" s="68">
        <f t="shared" si="6"/>
        <v>0.25</v>
      </c>
      <c r="AP64" s="71" t="e">
        <f t="shared" si="7"/>
        <v>#DIV/0!</v>
      </c>
      <c r="AQ64" s="68">
        <v>0.25</v>
      </c>
      <c r="AR64" s="63" t="str">
        <f>+$J$64</f>
        <v>Formular los procesos y procedimientos en el marco del MIPG</v>
      </c>
      <c r="AS64" s="67">
        <v>0</v>
      </c>
      <c r="AT64" s="70"/>
      <c r="AU64" s="70"/>
      <c r="AV64" s="68">
        <f t="shared" si="8"/>
        <v>0</v>
      </c>
      <c r="AW64" s="68" t="e">
        <f t="shared" si="9"/>
        <v>#DIV/0!</v>
      </c>
      <c r="AX64" s="68">
        <f t="shared" si="10"/>
        <v>0.25</v>
      </c>
      <c r="AY64" s="68" t="e">
        <f t="shared" si="11"/>
        <v>#DIV/0!</v>
      </c>
      <c r="AZ64" s="68">
        <v>0.25</v>
      </c>
      <c r="BA64" s="63" t="str">
        <f>+$J$64</f>
        <v>Formular los procesos y procedimientos en el marco del MIPG</v>
      </c>
      <c r="BB64" s="67">
        <v>0</v>
      </c>
      <c r="BC64" s="70"/>
      <c r="BD64" s="70"/>
      <c r="BE64" s="68">
        <f t="shared" si="12"/>
        <v>0</v>
      </c>
      <c r="BF64" s="68" t="e">
        <f t="shared" si="13"/>
        <v>#DIV/0!</v>
      </c>
      <c r="BG64" s="68">
        <f t="shared" si="14"/>
        <v>0.25</v>
      </c>
      <c r="BH64" s="68" t="e">
        <f t="shared" si="15"/>
        <v>#DIV/0!</v>
      </c>
      <c r="BI64" s="72">
        <f t="shared" si="16"/>
        <v>1</v>
      </c>
      <c r="BJ64" s="72" t="str">
        <f t="shared" si="17"/>
        <v>No Prog ni Ejec</v>
      </c>
      <c r="BK64" s="72">
        <f t="shared" si="18"/>
        <v>0</v>
      </c>
      <c r="BL64" s="72" t="str">
        <f t="shared" si="19"/>
        <v>No Prog ni Ejec</v>
      </c>
      <c r="BM64" s="72">
        <f t="shared" si="20"/>
        <v>0</v>
      </c>
      <c r="BN64" s="72" t="str">
        <f t="shared" si="21"/>
        <v>No Prog ni Ejec</v>
      </c>
      <c r="BO64" s="72">
        <f t="shared" si="22"/>
        <v>0</v>
      </c>
      <c r="BP64" s="72" t="str">
        <f t="shared" si="23"/>
        <v>No Prog ni Ejec</v>
      </c>
      <c r="BQ64" s="70"/>
    </row>
    <row r="65" spans="1:69" s="73" customFormat="1" ht="105" x14ac:dyDescent="0.25">
      <c r="A65" s="62">
        <v>11500</v>
      </c>
      <c r="B65" s="63" t="str">
        <f>+VLOOKUP(A65,'[1]TAB. REF. PA'!$A$4:$B$14,2,FALSE)</f>
        <v xml:space="preserve">Dirección de Otras Prestaciones  </v>
      </c>
      <c r="C65" s="64" t="s">
        <v>260</v>
      </c>
      <c r="D65" s="63" t="s">
        <v>256</v>
      </c>
      <c r="E65" s="64" t="s">
        <v>262</v>
      </c>
      <c r="F65" s="63" t="s">
        <v>127</v>
      </c>
      <c r="G65" s="65" t="s">
        <v>124</v>
      </c>
      <c r="H65" s="64">
        <v>4</v>
      </c>
      <c r="I65" s="64" t="s">
        <v>275</v>
      </c>
      <c r="J65" s="69" t="s">
        <v>599</v>
      </c>
      <c r="K65" s="67">
        <v>0</v>
      </c>
      <c r="L65" s="68">
        <v>1</v>
      </c>
      <c r="M65" s="69" t="s">
        <v>51</v>
      </c>
      <c r="N65" s="69" t="s">
        <v>68</v>
      </c>
      <c r="O65" s="69" t="s">
        <v>21</v>
      </c>
      <c r="P65" s="69" t="s">
        <v>36</v>
      </c>
      <c r="Q65" s="69" t="s">
        <v>75</v>
      </c>
      <c r="R65" s="70"/>
      <c r="S65" s="69" t="s">
        <v>570</v>
      </c>
      <c r="T65" s="69" t="s">
        <v>98</v>
      </c>
      <c r="U65" s="75">
        <v>1</v>
      </c>
      <c r="V65" s="63" t="str">
        <f>+$J$65</f>
        <v>Remitir informe trimestral de los indicadores formulados y las acciones de mejoras</v>
      </c>
      <c r="W65" s="67">
        <v>0</v>
      </c>
      <c r="X65" s="62" t="s">
        <v>117</v>
      </c>
      <c r="Y65" s="67">
        <v>0</v>
      </c>
      <c r="Z65" s="63" t="str">
        <f>+$J$65</f>
        <v>Remitir informe trimestral de los indicadores formulados y las acciones de mejoras</v>
      </c>
      <c r="AA65" s="67">
        <v>0</v>
      </c>
      <c r="AB65" s="70"/>
      <c r="AC65" s="70"/>
      <c r="AD65" s="68" t="e">
        <f t="shared" si="0"/>
        <v>#DIV/0!</v>
      </c>
      <c r="AE65" s="68" t="e">
        <f t="shared" si="1"/>
        <v>#DIV/0!</v>
      </c>
      <c r="AF65" s="68">
        <f t="shared" si="2"/>
        <v>0</v>
      </c>
      <c r="AG65" s="68" t="e">
        <f t="shared" si="3"/>
        <v>#DIV/0!</v>
      </c>
      <c r="AH65" s="67">
        <v>0</v>
      </c>
      <c r="AI65" s="63" t="str">
        <f>+$J$65</f>
        <v>Remitir informe trimestral de los indicadores formulados y las acciones de mejoras</v>
      </c>
      <c r="AJ65" s="67">
        <v>0</v>
      </c>
      <c r="AK65" s="70"/>
      <c r="AL65" s="70"/>
      <c r="AM65" s="68" t="e">
        <f t="shared" si="4"/>
        <v>#DIV/0!</v>
      </c>
      <c r="AN65" s="68" t="e">
        <f t="shared" si="5"/>
        <v>#DIV/0!</v>
      </c>
      <c r="AO65" s="68">
        <f t="shared" si="6"/>
        <v>0</v>
      </c>
      <c r="AP65" s="71" t="e">
        <f t="shared" si="7"/>
        <v>#DIV/0!</v>
      </c>
      <c r="AQ65" s="67">
        <v>0</v>
      </c>
      <c r="AR65" s="63" t="str">
        <f>+$J$65</f>
        <v>Remitir informe trimestral de los indicadores formulados y las acciones de mejoras</v>
      </c>
      <c r="AS65" s="67">
        <v>0</v>
      </c>
      <c r="AT65" s="70"/>
      <c r="AU65" s="70"/>
      <c r="AV65" s="68" t="e">
        <f t="shared" si="8"/>
        <v>#DIV/0!</v>
      </c>
      <c r="AW65" s="68" t="e">
        <f t="shared" si="9"/>
        <v>#DIV/0!</v>
      </c>
      <c r="AX65" s="68">
        <f t="shared" si="10"/>
        <v>0</v>
      </c>
      <c r="AY65" s="68" t="e">
        <f t="shared" si="11"/>
        <v>#DIV/0!</v>
      </c>
      <c r="AZ65" s="75">
        <v>1</v>
      </c>
      <c r="BA65" s="63" t="str">
        <f>+$J$65</f>
        <v>Remitir informe trimestral de los indicadores formulados y las acciones de mejoras</v>
      </c>
      <c r="BB65" s="67">
        <v>0</v>
      </c>
      <c r="BC65" s="70"/>
      <c r="BD65" s="70"/>
      <c r="BE65" s="68">
        <f t="shared" si="12"/>
        <v>0</v>
      </c>
      <c r="BF65" s="68" t="e">
        <f t="shared" si="13"/>
        <v>#DIV/0!</v>
      </c>
      <c r="BG65" s="68">
        <f t="shared" si="14"/>
        <v>0</v>
      </c>
      <c r="BH65" s="68" t="e">
        <f t="shared" si="15"/>
        <v>#DIV/0!</v>
      </c>
      <c r="BI65" s="72" t="str">
        <f t="shared" si="16"/>
        <v>No Prog ni Ejec</v>
      </c>
      <c r="BJ65" s="72" t="str">
        <f t="shared" si="17"/>
        <v>No Prog ni Ejec</v>
      </c>
      <c r="BK65" s="72" t="str">
        <f t="shared" si="18"/>
        <v>No Prog ni Ejec</v>
      </c>
      <c r="BL65" s="72" t="str">
        <f t="shared" si="19"/>
        <v>No Prog ni Ejec</v>
      </c>
      <c r="BM65" s="72" t="str">
        <f t="shared" si="20"/>
        <v>No Prog ni Ejec</v>
      </c>
      <c r="BN65" s="72" t="str">
        <f t="shared" si="21"/>
        <v>No Prog ni Ejec</v>
      </c>
      <c r="BO65" s="72">
        <f t="shared" si="22"/>
        <v>0</v>
      </c>
      <c r="BP65" s="72" t="str">
        <f t="shared" si="23"/>
        <v>No Prog ni Ejec</v>
      </c>
      <c r="BQ65" s="70"/>
    </row>
    <row r="66" spans="1:69" s="73" customFormat="1" ht="105" x14ac:dyDescent="0.25">
      <c r="A66" s="62">
        <v>11500</v>
      </c>
      <c r="B66" s="63" t="str">
        <f>+VLOOKUP(A66,'[1]TAB. REF. PA'!$A$4:$B$14,2,FALSE)</f>
        <v xml:space="preserve">Dirección de Otras Prestaciones  </v>
      </c>
      <c r="C66" s="64" t="s">
        <v>263</v>
      </c>
      <c r="D66" s="63" t="s">
        <v>144</v>
      </c>
      <c r="E66" s="64" t="s">
        <v>264</v>
      </c>
      <c r="F66" s="63" t="s">
        <v>600</v>
      </c>
      <c r="G66" s="65" t="s">
        <v>124</v>
      </c>
      <c r="H66" s="64">
        <v>12</v>
      </c>
      <c r="I66" s="64" t="s">
        <v>265</v>
      </c>
      <c r="J66" s="63" t="s">
        <v>601</v>
      </c>
      <c r="K66" s="67">
        <f>(48960000)*0.75</f>
        <v>36720000</v>
      </c>
      <c r="L66" s="68">
        <v>1</v>
      </c>
      <c r="M66" s="69" t="s">
        <v>46</v>
      </c>
      <c r="N66" s="69" t="s">
        <v>68</v>
      </c>
      <c r="O66" s="69" t="s">
        <v>21</v>
      </c>
      <c r="P66" s="69" t="s">
        <v>36</v>
      </c>
      <c r="Q66" s="69" t="s">
        <v>211</v>
      </c>
      <c r="R66" s="70"/>
      <c r="S66" s="69" t="s">
        <v>673</v>
      </c>
      <c r="T66" s="69" t="s">
        <v>98</v>
      </c>
      <c r="U66" s="67">
        <v>12</v>
      </c>
      <c r="V66" s="63" t="str">
        <f>+$J$66</f>
        <v>Realizar el giro previo efectuados a favor de las entidades recobrantes y proveedores de servicios y tecnologías no incluidas en el PB con cargo a la UPC</v>
      </c>
      <c r="W66" s="67">
        <f>+K66</f>
        <v>36720000</v>
      </c>
      <c r="X66" s="62" t="s">
        <v>117</v>
      </c>
      <c r="Y66" s="67">
        <v>3</v>
      </c>
      <c r="Z66" s="63" t="str">
        <f>+$J$66</f>
        <v>Realizar el giro previo efectuados a favor de las entidades recobrantes y proveedores de servicios y tecnologías no incluidas en el PB con cargo a la UPC</v>
      </c>
      <c r="AA66" s="115">
        <f>+W66*0.25</f>
        <v>9180000</v>
      </c>
      <c r="AB66" s="70"/>
      <c r="AC66" s="70"/>
      <c r="AD66" s="114">
        <f t="shared" si="0"/>
        <v>0</v>
      </c>
      <c r="AE66" s="68">
        <f t="shared" si="1"/>
        <v>0</v>
      </c>
      <c r="AF66" s="68">
        <f t="shared" si="2"/>
        <v>0</v>
      </c>
      <c r="AG66" s="68">
        <f t="shared" si="3"/>
        <v>0</v>
      </c>
      <c r="AH66" s="67">
        <v>3</v>
      </c>
      <c r="AI66" s="63" t="str">
        <f>+$J$66</f>
        <v>Realizar el giro previo efectuados a favor de las entidades recobrantes y proveedores de servicios y tecnologías no incluidas en el PB con cargo a la UPC</v>
      </c>
      <c r="AJ66" s="115">
        <v>6120000</v>
      </c>
      <c r="AK66" s="70"/>
      <c r="AL66" s="70"/>
      <c r="AM66" s="68">
        <f t="shared" si="4"/>
        <v>0</v>
      </c>
      <c r="AN66" s="68">
        <f t="shared" si="5"/>
        <v>0</v>
      </c>
      <c r="AO66" s="68">
        <f t="shared" si="6"/>
        <v>0</v>
      </c>
      <c r="AP66" s="71">
        <f t="shared" si="7"/>
        <v>0</v>
      </c>
      <c r="AQ66" s="67">
        <v>3</v>
      </c>
      <c r="AR66" s="63" t="str">
        <f>+$J$66</f>
        <v>Realizar el giro previo efectuados a favor de las entidades recobrantes y proveedores de servicios y tecnologías no incluidas en el PB con cargo a la UPC</v>
      </c>
      <c r="AS66" s="115">
        <v>6120000</v>
      </c>
      <c r="AT66" s="70"/>
      <c r="AU66" s="70"/>
      <c r="AV66" s="68">
        <f t="shared" si="8"/>
        <v>0</v>
      </c>
      <c r="AW66" s="68">
        <f t="shared" si="9"/>
        <v>0</v>
      </c>
      <c r="AX66" s="68">
        <f t="shared" si="10"/>
        <v>0</v>
      </c>
      <c r="AY66" s="68">
        <f t="shared" si="11"/>
        <v>0</v>
      </c>
      <c r="AZ66" s="67">
        <v>3</v>
      </c>
      <c r="BA66" s="63" t="str">
        <f>+$J$66</f>
        <v>Realizar el giro previo efectuados a favor de las entidades recobrantes y proveedores de servicios y tecnologías no incluidas en el PB con cargo a la UPC</v>
      </c>
      <c r="BB66" s="115">
        <v>6120000</v>
      </c>
      <c r="BC66" s="70"/>
      <c r="BD66" s="70"/>
      <c r="BE66" s="68">
        <f t="shared" si="12"/>
        <v>0</v>
      </c>
      <c r="BF66" s="68">
        <f t="shared" si="13"/>
        <v>0</v>
      </c>
      <c r="BG66" s="68">
        <f t="shared" si="14"/>
        <v>0</v>
      </c>
      <c r="BH66" s="68">
        <f t="shared" si="15"/>
        <v>0</v>
      </c>
      <c r="BI66" s="72">
        <f t="shared" si="16"/>
        <v>0</v>
      </c>
      <c r="BJ66" s="72">
        <f t="shared" si="17"/>
        <v>0</v>
      </c>
      <c r="BK66" s="72">
        <f t="shared" si="18"/>
        <v>0</v>
      </c>
      <c r="BL66" s="72">
        <f t="shared" si="19"/>
        <v>0</v>
      </c>
      <c r="BM66" s="72">
        <f t="shared" si="20"/>
        <v>0</v>
      </c>
      <c r="BN66" s="72">
        <f t="shared" si="21"/>
        <v>0</v>
      </c>
      <c r="BO66" s="72">
        <f t="shared" si="22"/>
        <v>0</v>
      </c>
      <c r="BP66" s="72">
        <f t="shared" si="23"/>
        <v>0</v>
      </c>
      <c r="BQ66" s="70" t="s">
        <v>717</v>
      </c>
    </row>
    <row r="67" spans="1:69" s="58" customFormat="1" ht="165" x14ac:dyDescent="0.25">
      <c r="A67" s="62">
        <v>11500</v>
      </c>
      <c r="B67" s="63" t="str">
        <f>+VLOOKUP(A67,'[1]TAB. REF. PA'!$A$4:$B$14,2,FALSE)</f>
        <v xml:space="preserve">Dirección de Otras Prestaciones  </v>
      </c>
      <c r="C67" s="64" t="s">
        <v>263</v>
      </c>
      <c r="D67" s="63" t="s">
        <v>144</v>
      </c>
      <c r="E67" s="64" t="s">
        <v>529</v>
      </c>
      <c r="F67" s="63" t="s">
        <v>602</v>
      </c>
      <c r="G67" s="65" t="s">
        <v>123</v>
      </c>
      <c r="H67" s="74">
        <v>1</v>
      </c>
      <c r="I67" s="64" t="s">
        <v>530</v>
      </c>
      <c r="J67" s="63" t="s">
        <v>603</v>
      </c>
      <c r="K67" s="115">
        <v>30882027540</v>
      </c>
      <c r="L67" s="68">
        <v>1</v>
      </c>
      <c r="M67" s="69" t="s">
        <v>46</v>
      </c>
      <c r="N67" s="69" t="s">
        <v>68</v>
      </c>
      <c r="O67" s="69" t="s">
        <v>21</v>
      </c>
      <c r="P67" s="69" t="s">
        <v>36</v>
      </c>
      <c r="Q67" s="69" t="s">
        <v>211</v>
      </c>
      <c r="R67" s="70"/>
      <c r="S67" s="69" t="s">
        <v>674</v>
      </c>
      <c r="T67" s="69" t="s">
        <v>98</v>
      </c>
      <c r="U67" s="68">
        <v>1</v>
      </c>
      <c r="V67" s="63" t="str">
        <f>+$J$67</f>
        <v>Paquetes de recobros cuyo trámite de auditoría haya culminado, para el trámite de reconocimiento y pago por parte de ADRES.</v>
      </c>
      <c r="W67" s="115">
        <f>+K67</f>
        <v>30882027540</v>
      </c>
      <c r="X67" s="62" t="s">
        <v>117</v>
      </c>
      <c r="Y67" s="68">
        <v>0.25</v>
      </c>
      <c r="Z67" s="63" t="str">
        <f>+$J$67</f>
        <v>Paquetes de recobros cuyo trámite de auditoría haya culminado, para el trámite de reconocimiento y pago por parte de ADRES.</v>
      </c>
      <c r="AA67" s="115">
        <f>+W67*Y67</f>
        <v>7720506885</v>
      </c>
      <c r="AB67" s="70"/>
      <c r="AC67" s="70"/>
      <c r="AD67" s="68">
        <f t="shared" si="0"/>
        <v>0</v>
      </c>
      <c r="AE67" s="68">
        <f t="shared" si="1"/>
        <v>0</v>
      </c>
      <c r="AF67" s="68">
        <f t="shared" si="2"/>
        <v>0</v>
      </c>
      <c r="AG67" s="68">
        <f t="shared" si="3"/>
        <v>0</v>
      </c>
      <c r="AH67" s="68">
        <v>0.25</v>
      </c>
      <c r="AI67" s="63" t="str">
        <f>+$J$67</f>
        <v>Paquetes de recobros cuyo trámite de auditoría haya culminado, para el trámite de reconocimiento y pago por parte de ADRES.</v>
      </c>
      <c r="AJ67" s="115">
        <v>7720506885</v>
      </c>
      <c r="AK67" s="70"/>
      <c r="AL67" s="70"/>
      <c r="AM67" s="68">
        <f t="shared" si="4"/>
        <v>0</v>
      </c>
      <c r="AN67" s="68">
        <f t="shared" si="5"/>
        <v>0</v>
      </c>
      <c r="AO67" s="68">
        <f t="shared" si="6"/>
        <v>0</v>
      </c>
      <c r="AP67" s="71">
        <f t="shared" si="7"/>
        <v>0</v>
      </c>
      <c r="AQ67" s="68">
        <v>0.25</v>
      </c>
      <c r="AR67" s="63" t="str">
        <f>+$J$67</f>
        <v>Paquetes de recobros cuyo trámite de auditoría haya culminado, para el trámite de reconocimiento y pago por parte de ADRES.</v>
      </c>
      <c r="AS67" s="115">
        <v>7720506885</v>
      </c>
      <c r="AT67" s="70"/>
      <c r="AU67" s="70"/>
      <c r="AV67" s="68">
        <f t="shared" si="8"/>
        <v>0</v>
      </c>
      <c r="AW67" s="68">
        <f t="shared" si="9"/>
        <v>0</v>
      </c>
      <c r="AX67" s="68">
        <f t="shared" si="10"/>
        <v>0</v>
      </c>
      <c r="AY67" s="68">
        <f t="shared" si="11"/>
        <v>0</v>
      </c>
      <c r="AZ67" s="68">
        <v>0.25</v>
      </c>
      <c r="BA67" s="63" t="str">
        <f>+$J$67</f>
        <v>Paquetes de recobros cuyo trámite de auditoría haya culminado, para el trámite de reconocimiento y pago por parte de ADRES.</v>
      </c>
      <c r="BB67" s="115">
        <v>7720506885</v>
      </c>
      <c r="BC67" s="70"/>
      <c r="BD67" s="70"/>
      <c r="BE67" s="68">
        <f t="shared" si="12"/>
        <v>0</v>
      </c>
      <c r="BF67" s="68">
        <f t="shared" si="13"/>
        <v>0</v>
      </c>
      <c r="BG67" s="68">
        <f t="shared" si="14"/>
        <v>0</v>
      </c>
      <c r="BH67" s="68">
        <f t="shared" si="15"/>
        <v>0</v>
      </c>
      <c r="BI67" s="57">
        <f t="shared" si="16"/>
        <v>0</v>
      </c>
      <c r="BJ67" s="57">
        <f t="shared" si="17"/>
        <v>0</v>
      </c>
      <c r="BK67" s="57">
        <f t="shared" si="18"/>
        <v>0</v>
      </c>
      <c r="BL67" s="57">
        <f t="shared" si="19"/>
        <v>0</v>
      </c>
      <c r="BM67" s="57">
        <f t="shared" si="20"/>
        <v>0</v>
      </c>
      <c r="BN67" s="57">
        <f t="shared" si="21"/>
        <v>0</v>
      </c>
      <c r="BO67" s="57">
        <f t="shared" si="22"/>
        <v>0</v>
      </c>
      <c r="BP67" s="57">
        <f t="shared" si="23"/>
        <v>0</v>
      </c>
      <c r="BQ67" s="70" t="s">
        <v>717</v>
      </c>
    </row>
    <row r="68" spans="1:69" s="73" customFormat="1" ht="105" x14ac:dyDescent="0.25">
      <c r="A68" s="62">
        <v>11500</v>
      </c>
      <c r="B68" s="63" t="str">
        <f>+VLOOKUP(A68,'[1]TAB. REF. PA'!$A$4:$B$14,2,FALSE)</f>
        <v xml:space="preserve">Dirección de Otras Prestaciones  </v>
      </c>
      <c r="C68" s="64" t="s">
        <v>263</v>
      </c>
      <c r="D68" s="63" t="s">
        <v>144</v>
      </c>
      <c r="E68" s="64" t="s">
        <v>531</v>
      </c>
      <c r="F68" s="63" t="s">
        <v>604</v>
      </c>
      <c r="G68" s="65" t="s">
        <v>605</v>
      </c>
      <c r="H68" s="76">
        <v>12</v>
      </c>
      <c r="I68" s="64" t="s">
        <v>532</v>
      </c>
      <c r="J68" s="63" t="s">
        <v>606</v>
      </c>
      <c r="K68" s="67">
        <v>0</v>
      </c>
      <c r="L68" s="68">
        <v>1</v>
      </c>
      <c r="M68" s="69" t="s">
        <v>46</v>
      </c>
      <c r="N68" s="69" t="s">
        <v>68</v>
      </c>
      <c r="O68" s="69" t="s">
        <v>21</v>
      </c>
      <c r="P68" s="69" t="s">
        <v>36</v>
      </c>
      <c r="Q68" s="69" t="s">
        <v>211</v>
      </c>
      <c r="R68" s="70"/>
      <c r="S68" s="69" t="s">
        <v>675</v>
      </c>
      <c r="T68" s="69" t="s">
        <v>98</v>
      </c>
      <c r="U68" s="67">
        <v>3</v>
      </c>
      <c r="V68" s="63" t="str">
        <f>+$J$68</f>
        <v>Publicación del Giro Directo del giro previo</v>
      </c>
      <c r="W68" s="67">
        <f>+K68</f>
        <v>0</v>
      </c>
      <c r="X68" s="62" t="s">
        <v>117</v>
      </c>
      <c r="Y68" s="67">
        <v>3</v>
      </c>
      <c r="Z68" s="63" t="str">
        <f>+$J$68</f>
        <v>Publicación del Giro Directo del giro previo</v>
      </c>
      <c r="AA68" s="67">
        <v>0</v>
      </c>
      <c r="AB68" s="70"/>
      <c r="AC68" s="70"/>
      <c r="AD68" s="68">
        <f t="shared" si="0"/>
        <v>0</v>
      </c>
      <c r="AE68" s="68" t="e">
        <f t="shared" si="1"/>
        <v>#DIV/0!</v>
      </c>
      <c r="AF68" s="68">
        <f t="shared" si="2"/>
        <v>0</v>
      </c>
      <c r="AG68" s="68" t="e">
        <f t="shared" si="3"/>
        <v>#DIV/0!</v>
      </c>
      <c r="AH68" s="67">
        <v>3</v>
      </c>
      <c r="AI68" s="63" t="str">
        <f>+$J$68</f>
        <v>Publicación del Giro Directo del giro previo</v>
      </c>
      <c r="AJ68" s="67">
        <v>0</v>
      </c>
      <c r="AK68" s="70"/>
      <c r="AL68" s="70"/>
      <c r="AM68" s="68">
        <f t="shared" si="4"/>
        <v>0</v>
      </c>
      <c r="AN68" s="68" t="e">
        <f t="shared" si="5"/>
        <v>#DIV/0!</v>
      </c>
      <c r="AO68" s="68">
        <f t="shared" si="6"/>
        <v>0</v>
      </c>
      <c r="AP68" s="71" t="e">
        <f t="shared" si="7"/>
        <v>#DIV/0!</v>
      </c>
      <c r="AQ68" s="67">
        <v>3</v>
      </c>
      <c r="AR68" s="63" t="str">
        <f>+$J$68</f>
        <v>Publicación del Giro Directo del giro previo</v>
      </c>
      <c r="AS68" s="67">
        <v>0</v>
      </c>
      <c r="AT68" s="70"/>
      <c r="AU68" s="70"/>
      <c r="AV68" s="68">
        <f t="shared" si="8"/>
        <v>0</v>
      </c>
      <c r="AW68" s="68" t="e">
        <f t="shared" si="9"/>
        <v>#DIV/0!</v>
      </c>
      <c r="AX68" s="68">
        <f t="shared" si="10"/>
        <v>0</v>
      </c>
      <c r="AY68" s="68" t="e">
        <f t="shared" si="11"/>
        <v>#DIV/0!</v>
      </c>
      <c r="AZ68" s="67">
        <v>3</v>
      </c>
      <c r="BA68" s="63" t="str">
        <f>+$J$68</f>
        <v>Publicación del Giro Directo del giro previo</v>
      </c>
      <c r="BB68" s="67">
        <v>0</v>
      </c>
      <c r="BC68" s="70"/>
      <c r="BD68" s="70"/>
      <c r="BE68" s="68">
        <f t="shared" si="12"/>
        <v>0</v>
      </c>
      <c r="BF68" s="68" t="e">
        <f t="shared" si="13"/>
        <v>#DIV/0!</v>
      </c>
      <c r="BG68" s="68">
        <f t="shared" si="14"/>
        <v>0</v>
      </c>
      <c r="BH68" s="68" t="e">
        <f t="shared" si="15"/>
        <v>#DIV/0!</v>
      </c>
      <c r="BI68" s="72">
        <f t="shared" si="16"/>
        <v>0</v>
      </c>
      <c r="BJ68" s="72" t="str">
        <f t="shared" si="17"/>
        <v>No Prog ni Ejec</v>
      </c>
      <c r="BK68" s="72">
        <f t="shared" si="18"/>
        <v>0</v>
      </c>
      <c r="BL68" s="72" t="str">
        <f t="shared" si="19"/>
        <v>No Prog ni Ejec</v>
      </c>
      <c r="BM68" s="72">
        <f t="shared" si="20"/>
        <v>0</v>
      </c>
      <c r="BN68" s="72" t="str">
        <f t="shared" si="21"/>
        <v>No Prog ni Ejec</v>
      </c>
      <c r="BO68" s="72">
        <f t="shared" si="22"/>
        <v>0</v>
      </c>
      <c r="BP68" s="72" t="str">
        <f t="shared" si="23"/>
        <v>No Prog ni Ejec</v>
      </c>
      <c r="BQ68" s="70"/>
    </row>
    <row r="69" spans="1:69" s="73" customFormat="1" ht="107.25" customHeight="1" x14ac:dyDescent="0.25">
      <c r="A69" s="62">
        <v>11500</v>
      </c>
      <c r="B69" s="63" t="str">
        <f>+VLOOKUP(A69,'[1]TAB. REF. PA'!$A$4:$B$14,2,FALSE)</f>
        <v xml:space="preserve">Dirección de Otras Prestaciones  </v>
      </c>
      <c r="C69" s="64" t="s">
        <v>263</v>
      </c>
      <c r="D69" s="63" t="s">
        <v>144</v>
      </c>
      <c r="E69" s="64" t="s">
        <v>533</v>
      </c>
      <c r="F69" s="63" t="s">
        <v>607</v>
      </c>
      <c r="G69" s="65" t="s">
        <v>123</v>
      </c>
      <c r="H69" s="74">
        <v>1</v>
      </c>
      <c r="I69" s="64" t="s">
        <v>534</v>
      </c>
      <c r="J69" s="63" t="s">
        <v>608</v>
      </c>
      <c r="K69" s="67">
        <v>0</v>
      </c>
      <c r="L69" s="68">
        <v>1</v>
      </c>
      <c r="M69" s="69" t="s">
        <v>46</v>
      </c>
      <c r="N69" s="69" t="s">
        <v>68</v>
      </c>
      <c r="O69" s="69" t="s">
        <v>21</v>
      </c>
      <c r="P69" s="69" t="s">
        <v>36</v>
      </c>
      <c r="Q69" s="69" t="s">
        <v>211</v>
      </c>
      <c r="R69" s="70"/>
      <c r="S69" s="69" t="s">
        <v>622</v>
      </c>
      <c r="T69" s="69" t="s">
        <v>98</v>
      </c>
      <c r="U69" s="68">
        <v>1</v>
      </c>
      <c r="V69" s="63" t="str">
        <f>+$J$69</f>
        <v>Realizar infomes de supervisión en el período</v>
      </c>
      <c r="W69" s="67">
        <v>0</v>
      </c>
      <c r="X69" s="62" t="s">
        <v>117</v>
      </c>
      <c r="Y69" s="68">
        <v>0.25</v>
      </c>
      <c r="Z69" s="63" t="str">
        <f>+$J$69</f>
        <v>Realizar infomes de supervisión en el período</v>
      </c>
      <c r="AA69" s="67">
        <v>0</v>
      </c>
      <c r="AB69" s="70"/>
      <c r="AC69" s="70"/>
      <c r="AD69" s="68">
        <f t="shared" si="0"/>
        <v>0</v>
      </c>
      <c r="AE69" s="68" t="e">
        <f t="shared" si="1"/>
        <v>#DIV/0!</v>
      </c>
      <c r="AF69" s="68">
        <f t="shared" si="2"/>
        <v>0</v>
      </c>
      <c r="AG69" s="68" t="e">
        <f t="shared" si="3"/>
        <v>#DIV/0!</v>
      </c>
      <c r="AH69" s="68">
        <v>0.25</v>
      </c>
      <c r="AI69" s="63" t="str">
        <f>+$J$69</f>
        <v>Realizar infomes de supervisión en el período</v>
      </c>
      <c r="AJ69" s="67">
        <v>0</v>
      </c>
      <c r="AK69" s="70"/>
      <c r="AL69" s="70"/>
      <c r="AM69" s="68">
        <f t="shared" si="4"/>
        <v>0</v>
      </c>
      <c r="AN69" s="68" t="e">
        <f t="shared" si="5"/>
        <v>#DIV/0!</v>
      </c>
      <c r="AO69" s="68">
        <f t="shared" si="6"/>
        <v>0</v>
      </c>
      <c r="AP69" s="71" t="e">
        <f t="shared" si="7"/>
        <v>#DIV/0!</v>
      </c>
      <c r="AQ69" s="68">
        <v>0.25</v>
      </c>
      <c r="AR69" s="63" t="str">
        <f>+$J$69</f>
        <v>Realizar infomes de supervisión en el período</v>
      </c>
      <c r="AS69" s="67">
        <v>0</v>
      </c>
      <c r="AT69" s="70"/>
      <c r="AU69" s="70"/>
      <c r="AV69" s="68">
        <f t="shared" si="8"/>
        <v>0</v>
      </c>
      <c r="AW69" s="68" t="e">
        <f t="shared" si="9"/>
        <v>#DIV/0!</v>
      </c>
      <c r="AX69" s="68">
        <f t="shared" si="10"/>
        <v>0</v>
      </c>
      <c r="AY69" s="68" t="e">
        <f t="shared" si="11"/>
        <v>#DIV/0!</v>
      </c>
      <c r="AZ69" s="68">
        <v>0.25</v>
      </c>
      <c r="BA69" s="63" t="str">
        <f>+$J$69</f>
        <v>Realizar infomes de supervisión en el período</v>
      </c>
      <c r="BB69" s="67">
        <v>0</v>
      </c>
      <c r="BC69" s="70"/>
      <c r="BD69" s="70"/>
      <c r="BE69" s="68">
        <f t="shared" si="12"/>
        <v>0</v>
      </c>
      <c r="BF69" s="68" t="e">
        <f t="shared" si="13"/>
        <v>#DIV/0!</v>
      </c>
      <c r="BG69" s="68">
        <f t="shared" si="14"/>
        <v>0</v>
      </c>
      <c r="BH69" s="68" t="e">
        <f t="shared" si="15"/>
        <v>#DIV/0!</v>
      </c>
      <c r="BI69" s="72">
        <f t="shared" si="16"/>
        <v>0</v>
      </c>
      <c r="BJ69" s="72" t="str">
        <f t="shared" si="17"/>
        <v>No Prog ni Ejec</v>
      </c>
      <c r="BK69" s="72">
        <f t="shared" si="18"/>
        <v>0</v>
      </c>
      <c r="BL69" s="72" t="str">
        <f t="shared" si="19"/>
        <v>No Prog ni Ejec</v>
      </c>
      <c r="BM69" s="72">
        <f t="shared" si="20"/>
        <v>0</v>
      </c>
      <c r="BN69" s="72" t="str">
        <f t="shared" si="21"/>
        <v>No Prog ni Ejec</v>
      </c>
      <c r="BO69" s="72">
        <f t="shared" si="22"/>
        <v>0</v>
      </c>
      <c r="BP69" s="72" t="str">
        <f t="shared" si="23"/>
        <v>No Prog ni Ejec</v>
      </c>
      <c r="BQ69" s="70"/>
    </row>
    <row r="70" spans="1:69" s="73" customFormat="1" ht="105" x14ac:dyDescent="0.25">
      <c r="A70" s="62">
        <v>11500</v>
      </c>
      <c r="B70" s="63" t="str">
        <f>+VLOOKUP(A70,'[1]TAB. REF. PA'!$A$4:$B$14,2,FALSE)</f>
        <v xml:space="preserve">Dirección de Otras Prestaciones  </v>
      </c>
      <c r="C70" s="64" t="s">
        <v>263</v>
      </c>
      <c r="D70" s="63" t="s">
        <v>144</v>
      </c>
      <c r="E70" s="64" t="s">
        <v>535</v>
      </c>
      <c r="F70" s="63" t="s">
        <v>609</v>
      </c>
      <c r="G70" s="65" t="s">
        <v>384</v>
      </c>
      <c r="H70" s="76">
        <v>4</v>
      </c>
      <c r="I70" s="64" t="s">
        <v>536</v>
      </c>
      <c r="J70" s="63" t="s">
        <v>610</v>
      </c>
      <c r="K70" s="67">
        <v>0</v>
      </c>
      <c r="L70" s="68">
        <v>1</v>
      </c>
      <c r="M70" s="69" t="s">
        <v>46</v>
      </c>
      <c r="N70" s="69" t="s">
        <v>68</v>
      </c>
      <c r="O70" s="69" t="s">
        <v>21</v>
      </c>
      <c r="P70" s="69" t="s">
        <v>36</v>
      </c>
      <c r="Q70" s="69" t="s">
        <v>211</v>
      </c>
      <c r="R70" s="70"/>
      <c r="S70" s="69" t="s">
        <v>623</v>
      </c>
      <c r="T70" s="69" t="s">
        <v>98</v>
      </c>
      <c r="U70" s="67">
        <v>4</v>
      </c>
      <c r="V70" s="63" t="str">
        <f>+$J$70</f>
        <v xml:space="preserve">Realizar boletines con resultados del proceso de reconocimiento y pago de recobros por concepto de servicios y tecnologías no cubiertos por el plan de beneficios con cargo a la UPC </v>
      </c>
      <c r="W70" s="67">
        <v>0</v>
      </c>
      <c r="X70" s="62" t="s">
        <v>117</v>
      </c>
      <c r="Y70" s="67">
        <v>1</v>
      </c>
      <c r="Z70" s="63" t="str">
        <f>+$J$70</f>
        <v xml:space="preserve">Realizar boletines con resultados del proceso de reconocimiento y pago de recobros por concepto de servicios y tecnologías no cubiertos por el plan de beneficios con cargo a la UPC </v>
      </c>
      <c r="AA70" s="67">
        <v>0</v>
      </c>
      <c r="AB70" s="70"/>
      <c r="AC70" s="70"/>
      <c r="AD70" s="68">
        <f t="shared" si="0"/>
        <v>0</v>
      </c>
      <c r="AE70" s="68" t="e">
        <f t="shared" si="1"/>
        <v>#DIV/0!</v>
      </c>
      <c r="AF70" s="68">
        <f t="shared" si="2"/>
        <v>0</v>
      </c>
      <c r="AG70" s="68" t="e">
        <f t="shared" si="3"/>
        <v>#DIV/0!</v>
      </c>
      <c r="AH70" s="67">
        <v>1</v>
      </c>
      <c r="AI70" s="63" t="str">
        <f>+$J$70</f>
        <v xml:space="preserve">Realizar boletines con resultados del proceso de reconocimiento y pago de recobros por concepto de servicios y tecnologías no cubiertos por el plan de beneficios con cargo a la UPC </v>
      </c>
      <c r="AJ70" s="67">
        <v>0</v>
      </c>
      <c r="AK70" s="70"/>
      <c r="AL70" s="70"/>
      <c r="AM70" s="68">
        <f t="shared" si="4"/>
        <v>0</v>
      </c>
      <c r="AN70" s="68" t="e">
        <f t="shared" si="5"/>
        <v>#DIV/0!</v>
      </c>
      <c r="AO70" s="68">
        <f t="shared" si="6"/>
        <v>0</v>
      </c>
      <c r="AP70" s="71" t="e">
        <f t="shared" si="7"/>
        <v>#DIV/0!</v>
      </c>
      <c r="AQ70" s="67">
        <v>1</v>
      </c>
      <c r="AR70" s="63" t="str">
        <f>+$J$70</f>
        <v xml:space="preserve">Realizar boletines con resultados del proceso de reconocimiento y pago de recobros por concepto de servicios y tecnologías no cubiertos por el plan de beneficios con cargo a la UPC </v>
      </c>
      <c r="AS70" s="67">
        <v>0</v>
      </c>
      <c r="AT70" s="70"/>
      <c r="AU70" s="70"/>
      <c r="AV70" s="68">
        <f t="shared" si="8"/>
        <v>0</v>
      </c>
      <c r="AW70" s="68" t="e">
        <f t="shared" si="9"/>
        <v>#DIV/0!</v>
      </c>
      <c r="AX70" s="68">
        <f t="shared" si="10"/>
        <v>0</v>
      </c>
      <c r="AY70" s="68" t="e">
        <f t="shared" si="11"/>
        <v>#DIV/0!</v>
      </c>
      <c r="AZ70" s="67">
        <v>1</v>
      </c>
      <c r="BA70" s="63" t="str">
        <f>+$J$70</f>
        <v xml:space="preserve">Realizar boletines con resultados del proceso de reconocimiento y pago de recobros por concepto de servicios y tecnologías no cubiertos por el plan de beneficios con cargo a la UPC </v>
      </c>
      <c r="BB70" s="67">
        <v>0</v>
      </c>
      <c r="BC70" s="70"/>
      <c r="BD70" s="70"/>
      <c r="BE70" s="68">
        <f t="shared" si="12"/>
        <v>0</v>
      </c>
      <c r="BF70" s="68" t="e">
        <f t="shared" si="13"/>
        <v>#DIV/0!</v>
      </c>
      <c r="BG70" s="68">
        <f t="shared" si="14"/>
        <v>0</v>
      </c>
      <c r="BH70" s="68" t="e">
        <f t="shared" si="15"/>
        <v>#DIV/0!</v>
      </c>
      <c r="BI70" s="72">
        <f t="shared" si="16"/>
        <v>0</v>
      </c>
      <c r="BJ70" s="72" t="str">
        <f t="shared" si="17"/>
        <v>No Prog ni Ejec</v>
      </c>
      <c r="BK70" s="72">
        <f t="shared" si="18"/>
        <v>0</v>
      </c>
      <c r="BL70" s="72" t="str">
        <f t="shared" si="19"/>
        <v>No Prog ni Ejec</v>
      </c>
      <c r="BM70" s="72">
        <f t="shared" si="20"/>
        <v>0</v>
      </c>
      <c r="BN70" s="72" t="str">
        <f t="shared" si="21"/>
        <v>No Prog ni Ejec</v>
      </c>
      <c r="BO70" s="72">
        <f t="shared" si="22"/>
        <v>0</v>
      </c>
      <c r="BP70" s="72" t="str">
        <f t="shared" si="23"/>
        <v>No Prog ni Ejec</v>
      </c>
      <c r="BQ70" s="70"/>
    </row>
    <row r="71" spans="1:69" s="58" customFormat="1" ht="105" x14ac:dyDescent="0.25">
      <c r="A71" s="62">
        <v>11500</v>
      </c>
      <c r="B71" s="63" t="str">
        <f>+VLOOKUP(A71,'[1]TAB. REF. PA'!$A$4:$B$14,2,FALSE)</f>
        <v xml:space="preserve">Dirección de Otras Prestaciones  </v>
      </c>
      <c r="C71" s="64" t="s">
        <v>611</v>
      </c>
      <c r="D71" s="63" t="s">
        <v>146</v>
      </c>
      <c r="E71" s="64" t="s">
        <v>537</v>
      </c>
      <c r="F71" s="63" t="s">
        <v>612</v>
      </c>
      <c r="G71" s="65" t="s">
        <v>123</v>
      </c>
      <c r="H71" s="74">
        <v>1</v>
      </c>
      <c r="I71" s="64" t="s">
        <v>538</v>
      </c>
      <c r="J71" s="63" t="s">
        <v>613</v>
      </c>
      <c r="K71" s="67">
        <v>195840000</v>
      </c>
      <c r="L71" s="99">
        <v>1</v>
      </c>
      <c r="M71" s="69" t="s">
        <v>46</v>
      </c>
      <c r="N71" s="69" t="s">
        <v>68</v>
      </c>
      <c r="O71" s="69" t="s">
        <v>21</v>
      </c>
      <c r="P71" s="69" t="s">
        <v>36</v>
      </c>
      <c r="Q71" s="69" t="s">
        <v>211</v>
      </c>
      <c r="R71" s="70"/>
      <c r="S71" s="69" t="s">
        <v>624</v>
      </c>
      <c r="T71" s="69" t="s">
        <v>98</v>
      </c>
      <c r="U71" s="68">
        <v>1</v>
      </c>
      <c r="V71" s="63" t="str">
        <f>+$J$71</f>
        <v>Entregar apoyos técnicos a la OAJ en recobros y reclamaciones una vez son resueltos por la Dirección de Tecnología de la Información</v>
      </c>
      <c r="W71" s="115">
        <f>+K71</f>
        <v>195840000</v>
      </c>
      <c r="X71" s="62" t="s">
        <v>117</v>
      </c>
      <c r="Y71" s="68">
        <v>0.25</v>
      </c>
      <c r="Z71" s="63" t="str">
        <f>+$J$71</f>
        <v>Entregar apoyos técnicos a la OAJ en recobros y reclamaciones una vez son resueltos por la Dirección de Tecnología de la Información</v>
      </c>
      <c r="AA71" s="115">
        <f>+W71*Y71</f>
        <v>48960000</v>
      </c>
      <c r="AB71" s="70"/>
      <c r="AC71" s="70"/>
      <c r="AD71" s="68">
        <f t="shared" si="0"/>
        <v>0</v>
      </c>
      <c r="AE71" s="68">
        <f t="shared" si="1"/>
        <v>0</v>
      </c>
      <c r="AF71" s="68">
        <f t="shared" si="2"/>
        <v>0</v>
      </c>
      <c r="AG71" s="68">
        <f t="shared" si="3"/>
        <v>0</v>
      </c>
      <c r="AH71" s="68">
        <v>0.25</v>
      </c>
      <c r="AI71" s="63" t="str">
        <f>+$J$71</f>
        <v>Entregar apoyos técnicos a la OAJ en recobros y reclamaciones una vez son resueltos por la Dirección de Tecnología de la Información</v>
      </c>
      <c r="AJ71" s="115">
        <v>48960000</v>
      </c>
      <c r="AK71" s="70"/>
      <c r="AL71" s="70"/>
      <c r="AM71" s="68">
        <f t="shared" si="4"/>
        <v>0</v>
      </c>
      <c r="AN71" s="68">
        <f t="shared" si="5"/>
        <v>0</v>
      </c>
      <c r="AO71" s="68">
        <f t="shared" si="6"/>
        <v>0</v>
      </c>
      <c r="AP71" s="71">
        <f t="shared" si="7"/>
        <v>0</v>
      </c>
      <c r="AQ71" s="68">
        <v>0.25</v>
      </c>
      <c r="AR71" s="63" t="str">
        <f>+$J$71</f>
        <v>Entregar apoyos técnicos a la OAJ en recobros y reclamaciones una vez son resueltos por la Dirección de Tecnología de la Información</v>
      </c>
      <c r="AS71" s="115">
        <v>48960000</v>
      </c>
      <c r="AT71" s="70"/>
      <c r="AU71" s="70"/>
      <c r="AV71" s="68">
        <f t="shared" si="8"/>
        <v>0</v>
      </c>
      <c r="AW71" s="68">
        <f t="shared" si="9"/>
        <v>0</v>
      </c>
      <c r="AX71" s="68">
        <f t="shared" si="10"/>
        <v>0</v>
      </c>
      <c r="AY71" s="68">
        <f t="shared" si="11"/>
        <v>0</v>
      </c>
      <c r="AZ71" s="68">
        <v>0.25</v>
      </c>
      <c r="BA71" s="63" t="str">
        <f>+$J$71</f>
        <v>Entregar apoyos técnicos a la OAJ en recobros y reclamaciones una vez son resueltos por la Dirección de Tecnología de la Información</v>
      </c>
      <c r="BB71" s="115">
        <v>48960000</v>
      </c>
      <c r="BC71" s="70"/>
      <c r="BD71" s="70"/>
      <c r="BE71" s="68">
        <f t="shared" si="12"/>
        <v>0</v>
      </c>
      <c r="BF71" s="68">
        <f t="shared" si="13"/>
        <v>0</v>
      </c>
      <c r="BG71" s="68">
        <f t="shared" si="14"/>
        <v>0</v>
      </c>
      <c r="BH71" s="68">
        <f t="shared" si="15"/>
        <v>0</v>
      </c>
      <c r="BI71" s="57">
        <f t="shared" si="16"/>
        <v>0</v>
      </c>
      <c r="BJ71" s="57">
        <f t="shared" si="17"/>
        <v>0</v>
      </c>
      <c r="BK71" s="57">
        <f t="shared" si="18"/>
        <v>0</v>
      </c>
      <c r="BL71" s="57">
        <f t="shared" si="19"/>
        <v>0</v>
      </c>
      <c r="BM71" s="57">
        <f t="shared" si="20"/>
        <v>0</v>
      </c>
      <c r="BN71" s="57">
        <f t="shared" si="21"/>
        <v>0</v>
      </c>
      <c r="BO71" s="57">
        <f t="shared" si="22"/>
        <v>0</v>
      </c>
      <c r="BP71" s="57">
        <f t="shared" si="23"/>
        <v>0</v>
      </c>
      <c r="BQ71" s="21"/>
    </row>
    <row r="72" spans="1:69" s="73" customFormat="1" ht="150" x14ac:dyDescent="0.25">
      <c r="A72" s="62">
        <v>11500</v>
      </c>
      <c r="B72" s="63" t="str">
        <f>+VLOOKUP(A72,'[1]TAB. REF. PA'!$A$4:$B$14,2,FALSE)</f>
        <v xml:space="preserve">Dirección de Otras Prestaciones  </v>
      </c>
      <c r="C72" s="64" t="s">
        <v>263</v>
      </c>
      <c r="D72" s="63" t="s">
        <v>144</v>
      </c>
      <c r="E72" s="64" t="s">
        <v>618</v>
      </c>
      <c r="F72" s="63" t="s">
        <v>614</v>
      </c>
      <c r="G72" s="65" t="s">
        <v>123</v>
      </c>
      <c r="H72" s="74">
        <v>1</v>
      </c>
      <c r="I72" s="64" t="s">
        <v>620</v>
      </c>
      <c r="J72" s="63" t="s">
        <v>615</v>
      </c>
      <c r="K72" s="67">
        <f>(48960000)*0.25</f>
        <v>12240000</v>
      </c>
      <c r="L72" s="68">
        <v>1</v>
      </c>
      <c r="M72" s="69" t="s">
        <v>46</v>
      </c>
      <c r="N72" s="69" t="s">
        <v>68</v>
      </c>
      <c r="O72" s="69" t="s">
        <v>21</v>
      </c>
      <c r="P72" s="69" t="s">
        <v>36</v>
      </c>
      <c r="Q72" s="69" t="s">
        <v>211</v>
      </c>
      <c r="R72" s="70"/>
      <c r="S72" s="69" t="s">
        <v>676</v>
      </c>
      <c r="T72" s="69" t="s">
        <v>98</v>
      </c>
      <c r="U72" s="68">
        <v>1</v>
      </c>
      <c r="V72" s="63" t="str">
        <f>+$J$72</f>
        <v>Pagar paquetes de reclamaciones de acuerdo con lo definido en la normativa vigente</v>
      </c>
      <c r="W72" s="67">
        <f>48960000*0.25</f>
        <v>12240000</v>
      </c>
      <c r="X72" s="62" t="s">
        <v>117</v>
      </c>
      <c r="Y72" s="68">
        <v>0.25</v>
      </c>
      <c r="Z72" s="63" t="str">
        <f>+$J$72</f>
        <v>Pagar paquetes de reclamaciones de acuerdo con lo definido en la normativa vigente</v>
      </c>
      <c r="AA72" s="115">
        <f>+W72*Y72</f>
        <v>3060000</v>
      </c>
      <c r="AB72" s="70"/>
      <c r="AC72" s="70"/>
      <c r="AD72" s="68">
        <f t="shared" si="0"/>
        <v>0</v>
      </c>
      <c r="AE72" s="68">
        <f t="shared" si="1"/>
        <v>0</v>
      </c>
      <c r="AF72" s="68">
        <f t="shared" si="2"/>
        <v>0</v>
      </c>
      <c r="AG72" s="68">
        <f t="shared" si="3"/>
        <v>0</v>
      </c>
      <c r="AH72" s="68">
        <v>0.25</v>
      </c>
      <c r="AI72" s="63" t="str">
        <f>+$J$72</f>
        <v>Pagar paquetes de reclamaciones de acuerdo con lo definido en la normativa vigente</v>
      </c>
      <c r="AJ72" s="115">
        <v>6120000</v>
      </c>
      <c r="AK72" s="70"/>
      <c r="AL72" s="70"/>
      <c r="AM72" s="68">
        <f t="shared" si="4"/>
        <v>0</v>
      </c>
      <c r="AN72" s="68">
        <f t="shared" si="5"/>
        <v>0</v>
      </c>
      <c r="AO72" s="68">
        <f t="shared" si="6"/>
        <v>0</v>
      </c>
      <c r="AP72" s="71">
        <f t="shared" si="7"/>
        <v>0</v>
      </c>
      <c r="AQ72" s="68">
        <v>0.25</v>
      </c>
      <c r="AR72" s="63" t="str">
        <f>+$J$72</f>
        <v>Pagar paquetes de reclamaciones de acuerdo con lo definido en la normativa vigente</v>
      </c>
      <c r="AS72" s="115">
        <v>6120000</v>
      </c>
      <c r="AT72" s="70"/>
      <c r="AU72" s="70"/>
      <c r="AV72" s="68">
        <f t="shared" si="8"/>
        <v>0</v>
      </c>
      <c r="AW72" s="68">
        <f t="shared" si="9"/>
        <v>0</v>
      </c>
      <c r="AX72" s="68">
        <f t="shared" si="10"/>
        <v>0</v>
      </c>
      <c r="AY72" s="68">
        <f t="shared" si="11"/>
        <v>0</v>
      </c>
      <c r="AZ72" s="68">
        <v>0.25</v>
      </c>
      <c r="BA72" s="63" t="str">
        <f>+$J$72</f>
        <v>Pagar paquetes de reclamaciones de acuerdo con lo definido en la normativa vigente</v>
      </c>
      <c r="BB72" s="115">
        <v>6120000</v>
      </c>
      <c r="BC72" s="70"/>
      <c r="BD72" s="70"/>
      <c r="BE72" s="68">
        <f t="shared" si="12"/>
        <v>0</v>
      </c>
      <c r="BF72" s="68">
        <f t="shared" si="13"/>
        <v>0</v>
      </c>
      <c r="BG72" s="68">
        <f t="shared" si="14"/>
        <v>0</v>
      </c>
      <c r="BH72" s="68">
        <f t="shared" si="15"/>
        <v>0</v>
      </c>
      <c r="BI72" s="72">
        <f t="shared" si="16"/>
        <v>0</v>
      </c>
      <c r="BJ72" s="72">
        <f t="shared" si="17"/>
        <v>0</v>
      </c>
      <c r="BK72" s="72">
        <f t="shared" si="18"/>
        <v>0</v>
      </c>
      <c r="BL72" s="72">
        <f t="shared" si="19"/>
        <v>0</v>
      </c>
      <c r="BM72" s="72">
        <f t="shared" si="20"/>
        <v>0</v>
      </c>
      <c r="BN72" s="72">
        <f t="shared" si="21"/>
        <v>0</v>
      </c>
      <c r="BO72" s="72">
        <f t="shared" si="22"/>
        <v>0</v>
      </c>
      <c r="BP72" s="72">
        <f t="shared" si="23"/>
        <v>0</v>
      </c>
      <c r="BQ72" s="70" t="s">
        <v>717</v>
      </c>
    </row>
    <row r="73" spans="1:69" s="73" customFormat="1" ht="105" x14ac:dyDescent="0.25">
      <c r="A73" s="62">
        <v>11500</v>
      </c>
      <c r="B73" s="63" t="str">
        <f>+VLOOKUP(A73,'[1]TAB. REF. PA'!$A$4:$B$14,2,FALSE)</f>
        <v xml:space="preserve">Dirección de Otras Prestaciones  </v>
      </c>
      <c r="C73" s="64" t="s">
        <v>263</v>
      </c>
      <c r="D73" s="63" t="s">
        <v>144</v>
      </c>
      <c r="E73" s="64" t="s">
        <v>619</v>
      </c>
      <c r="F73" s="63" t="s">
        <v>616</v>
      </c>
      <c r="G73" s="65" t="s">
        <v>384</v>
      </c>
      <c r="H73" s="76">
        <v>4</v>
      </c>
      <c r="I73" s="64" t="s">
        <v>621</v>
      </c>
      <c r="J73" s="63" t="s">
        <v>617</v>
      </c>
      <c r="K73" s="67">
        <v>0</v>
      </c>
      <c r="L73" s="68">
        <v>1</v>
      </c>
      <c r="M73" s="69" t="s">
        <v>46</v>
      </c>
      <c r="N73" s="69" t="s">
        <v>68</v>
      </c>
      <c r="O73" s="69" t="s">
        <v>21</v>
      </c>
      <c r="P73" s="69" t="s">
        <v>36</v>
      </c>
      <c r="Q73" s="69" t="s">
        <v>211</v>
      </c>
      <c r="R73" s="70"/>
      <c r="S73" s="69" t="s">
        <v>623</v>
      </c>
      <c r="T73" s="69" t="s">
        <v>98</v>
      </c>
      <c r="U73" s="67">
        <v>4</v>
      </c>
      <c r="V73" s="63" t="str">
        <f>+$J$73</f>
        <v>Generar boletines con resultados del proceso reclamaciones</v>
      </c>
      <c r="W73" s="67">
        <v>0</v>
      </c>
      <c r="X73" s="62" t="s">
        <v>117</v>
      </c>
      <c r="Y73" s="67">
        <v>1</v>
      </c>
      <c r="Z73" s="63" t="str">
        <f>+$J$73</f>
        <v>Generar boletines con resultados del proceso reclamaciones</v>
      </c>
      <c r="AA73" s="67">
        <v>0</v>
      </c>
      <c r="AB73" s="70"/>
      <c r="AC73" s="70"/>
      <c r="AD73" s="68">
        <f t="shared" si="0"/>
        <v>0</v>
      </c>
      <c r="AE73" s="68" t="e">
        <f t="shared" si="1"/>
        <v>#DIV/0!</v>
      </c>
      <c r="AF73" s="68">
        <f t="shared" si="2"/>
        <v>0</v>
      </c>
      <c r="AG73" s="68" t="e">
        <f t="shared" si="3"/>
        <v>#DIV/0!</v>
      </c>
      <c r="AH73" s="67">
        <v>1</v>
      </c>
      <c r="AI73" s="63" t="str">
        <f>+$J$73</f>
        <v>Generar boletines con resultados del proceso reclamaciones</v>
      </c>
      <c r="AJ73" s="67">
        <v>0</v>
      </c>
      <c r="AK73" s="70"/>
      <c r="AL73" s="70"/>
      <c r="AM73" s="68">
        <f t="shared" si="4"/>
        <v>0</v>
      </c>
      <c r="AN73" s="68" t="e">
        <f t="shared" si="5"/>
        <v>#DIV/0!</v>
      </c>
      <c r="AO73" s="68">
        <f t="shared" si="6"/>
        <v>0</v>
      </c>
      <c r="AP73" s="71" t="e">
        <f t="shared" si="7"/>
        <v>#DIV/0!</v>
      </c>
      <c r="AQ73" s="67">
        <v>1</v>
      </c>
      <c r="AR73" s="63" t="str">
        <f>+$J$73</f>
        <v>Generar boletines con resultados del proceso reclamaciones</v>
      </c>
      <c r="AS73" s="67">
        <v>0</v>
      </c>
      <c r="AT73" s="70"/>
      <c r="AU73" s="70"/>
      <c r="AV73" s="68">
        <f t="shared" si="8"/>
        <v>0</v>
      </c>
      <c r="AW73" s="68" t="e">
        <f t="shared" si="9"/>
        <v>#DIV/0!</v>
      </c>
      <c r="AX73" s="68">
        <f t="shared" si="10"/>
        <v>0</v>
      </c>
      <c r="AY73" s="68" t="e">
        <f t="shared" si="11"/>
        <v>#DIV/0!</v>
      </c>
      <c r="AZ73" s="67">
        <v>1</v>
      </c>
      <c r="BA73" s="63" t="str">
        <f>+$J$73</f>
        <v>Generar boletines con resultados del proceso reclamaciones</v>
      </c>
      <c r="BB73" s="67">
        <v>0</v>
      </c>
      <c r="BC73" s="70"/>
      <c r="BD73" s="70"/>
      <c r="BE73" s="68">
        <f t="shared" si="12"/>
        <v>0</v>
      </c>
      <c r="BF73" s="68" t="e">
        <f t="shared" si="13"/>
        <v>#DIV/0!</v>
      </c>
      <c r="BG73" s="68">
        <f t="shared" si="14"/>
        <v>0</v>
      </c>
      <c r="BH73" s="68" t="e">
        <f t="shared" si="15"/>
        <v>#DIV/0!</v>
      </c>
      <c r="BI73" s="72">
        <f t="shared" si="16"/>
        <v>0</v>
      </c>
      <c r="BJ73" s="72" t="str">
        <f t="shared" si="17"/>
        <v>No Prog ni Ejec</v>
      </c>
      <c r="BK73" s="72">
        <f t="shared" si="18"/>
        <v>0</v>
      </c>
      <c r="BL73" s="72" t="str">
        <f t="shared" si="19"/>
        <v>No Prog ni Ejec</v>
      </c>
      <c r="BM73" s="72">
        <f t="shared" si="20"/>
        <v>0</v>
      </c>
      <c r="BN73" s="72" t="str">
        <f t="shared" si="21"/>
        <v>No Prog ni Ejec</v>
      </c>
      <c r="BO73" s="72">
        <f t="shared" si="22"/>
        <v>0</v>
      </c>
      <c r="BP73" s="72" t="str">
        <f t="shared" si="23"/>
        <v>No Prog ni Ejec</v>
      </c>
      <c r="BQ73" s="70"/>
    </row>
    <row r="74" spans="1:69" ht="105" x14ac:dyDescent="0.25">
      <c r="A74" s="62">
        <v>11600</v>
      </c>
      <c r="B74" s="63" t="str">
        <f>+VLOOKUP(A74,'[2]TAB. REF. PA'!$A$5:$B$15,2,FALSE)</f>
        <v>Dirección de Gestión de Tecnología de la Información y la Comunicación</v>
      </c>
      <c r="C74" s="64" t="s">
        <v>266</v>
      </c>
      <c r="D74" s="63" t="s">
        <v>153</v>
      </c>
      <c r="E74" s="64" t="s">
        <v>268</v>
      </c>
      <c r="F74" s="63" t="s">
        <v>133</v>
      </c>
      <c r="G74" s="65" t="s">
        <v>124</v>
      </c>
      <c r="H74" s="64">
        <v>4</v>
      </c>
      <c r="I74" s="64" t="s">
        <v>271</v>
      </c>
      <c r="J74" s="66" t="s">
        <v>24</v>
      </c>
      <c r="K74" s="67">
        <v>0</v>
      </c>
      <c r="L74" s="68">
        <v>1</v>
      </c>
      <c r="M74" s="69" t="s">
        <v>51</v>
      </c>
      <c r="N74" s="69" t="s">
        <v>68</v>
      </c>
      <c r="O74" s="69" t="s">
        <v>21</v>
      </c>
      <c r="P74" s="69" t="s">
        <v>36</v>
      </c>
      <c r="Q74" s="69" t="s">
        <v>75</v>
      </c>
      <c r="R74" s="70"/>
      <c r="S74" s="69" t="s">
        <v>631</v>
      </c>
      <c r="T74" s="69" t="s">
        <v>98</v>
      </c>
      <c r="U74" s="62">
        <v>4</v>
      </c>
      <c r="V74" s="63" t="str">
        <f>+$J$73</f>
        <v>Generar boletines con resultados del proceso reclamaciones</v>
      </c>
      <c r="W74" s="77">
        <v>0</v>
      </c>
      <c r="X74" s="62" t="s">
        <v>117</v>
      </c>
      <c r="Y74" s="62">
        <v>1</v>
      </c>
      <c r="Z74" s="63" t="str">
        <f>+$J$73</f>
        <v>Generar boletines con resultados del proceso reclamaciones</v>
      </c>
      <c r="AA74" s="77">
        <v>0</v>
      </c>
      <c r="AB74" s="70"/>
      <c r="AC74" s="70"/>
      <c r="AD74" s="68">
        <f t="shared" ref="AD74:AD131" si="25">+(AB74/Y74)</f>
        <v>0</v>
      </c>
      <c r="AE74" s="68" t="e">
        <f t="shared" ref="AE74:AE131" si="26">+(AC74/AA74)</f>
        <v>#DIV/0!</v>
      </c>
      <c r="AF74" s="68">
        <f t="shared" ref="AF74:AF131" si="27">+(AB74/U74)</f>
        <v>0</v>
      </c>
      <c r="AG74" s="68" t="e">
        <f t="shared" ref="AG74:AG131" si="28">+(AC74/W74)</f>
        <v>#DIV/0!</v>
      </c>
      <c r="AH74" s="62">
        <v>1</v>
      </c>
      <c r="AI74" s="63" t="str">
        <f>+$J$73</f>
        <v>Generar boletines con resultados del proceso reclamaciones</v>
      </c>
      <c r="AJ74" s="77">
        <v>0</v>
      </c>
      <c r="AK74" s="70"/>
      <c r="AL74" s="70"/>
      <c r="AM74" s="68">
        <f t="shared" ref="AM74:AM131" si="29">+(AK74/AH74)</f>
        <v>0</v>
      </c>
      <c r="AN74" s="68" t="e">
        <f t="shared" ref="AN74:AN131" si="30">+(AL74/AJ74)</f>
        <v>#DIV/0!</v>
      </c>
      <c r="AO74" s="68">
        <f t="shared" ref="AO74:AO131" si="31">+(AK74+AB74)/U74</f>
        <v>0</v>
      </c>
      <c r="AP74" s="71" t="e">
        <f t="shared" ref="AP74:AP131" si="32">+(AL74+AC74)/W74</f>
        <v>#DIV/0!</v>
      </c>
      <c r="AQ74" s="62">
        <v>1</v>
      </c>
      <c r="AR74" s="63" t="str">
        <f>+$J$73</f>
        <v>Generar boletines con resultados del proceso reclamaciones</v>
      </c>
      <c r="AS74" s="77">
        <v>0</v>
      </c>
      <c r="AT74" s="70"/>
      <c r="AU74" s="70"/>
      <c r="AV74" s="68">
        <f t="shared" ref="AV74:AV131" si="33">+(AT74/AQ74)</f>
        <v>0</v>
      </c>
      <c r="AW74" s="68" t="e">
        <f t="shared" ref="AW74:AW131" si="34">+(AU74/AS74)</f>
        <v>#DIV/0!</v>
      </c>
      <c r="AX74" s="68">
        <f t="shared" ref="AX74:AX131" si="35">+(AK74+AB74+AT74)/U74</f>
        <v>0</v>
      </c>
      <c r="AY74" s="68" t="e">
        <f t="shared" ref="AY74:AY131" si="36">+(AL74+AC74+AU74)/W74</f>
        <v>#DIV/0!</v>
      </c>
      <c r="AZ74" s="62">
        <v>1</v>
      </c>
      <c r="BA74" s="63" t="str">
        <f>+$J$73</f>
        <v>Generar boletines con resultados del proceso reclamaciones</v>
      </c>
      <c r="BB74" s="77">
        <v>0</v>
      </c>
      <c r="BC74" s="70"/>
      <c r="BD74" s="70"/>
      <c r="BE74" s="68">
        <f t="shared" ref="BE74:BE131" si="37">+(BC74/AZ74)</f>
        <v>0</v>
      </c>
      <c r="BF74" s="68" t="e">
        <f t="shared" ref="BF74:BF131" si="38">+(BD74/BB74)</f>
        <v>#DIV/0!</v>
      </c>
      <c r="BG74" s="68">
        <f t="shared" ref="BG74:BG131" si="39">+(AK74+AB74+AT74+BC74)/U74</f>
        <v>0</v>
      </c>
      <c r="BH74" s="68" t="e">
        <f t="shared" ref="BH74:BH131" si="40">+(AL74+AC74+AU74+BD74)/W74</f>
        <v>#DIV/0!</v>
      </c>
      <c r="BI74" s="13">
        <f t="shared" ref="BI74:BI127" si="41">IF(AND(Y74=0,AB74=0),"No Prog ni Ejec",IF(Y74=0,CONCATENATE("No Prog, Ejec=  ",AB74),AB74/Y74))</f>
        <v>0</v>
      </c>
      <c r="BJ74" s="13" t="str">
        <f t="shared" ref="BJ74:BJ127" si="42">IF(AND(AA74=0,AC74=0),"No Prog ni Ejec",IF(AA74=0,CONCATENATE("No Prog, Ejec=  ",AC74),AC74/AA74))</f>
        <v>No Prog ni Ejec</v>
      </c>
      <c r="BK74" s="17">
        <f t="shared" ref="BK74:BK127" si="43">IF(AND(AH74=0,AK74=0),"No Prog ni Ejec",IF(AH74=0,CONCATENATE("No Prog, Ejec=  ",AK74),AK74/AH74))</f>
        <v>0</v>
      </c>
      <c r="BL74" s="13" t="str">
        <f t="shared" ref="BL74:BL127" si="44">IF(AND(AJ74=0,AL74=0),"No Prog ni Ejec",IF(AJ74=0,CONCATENATE("No Prog, Ejec=  ",AL74),AL74/AJ74))</f>
        <v>No Prog ni Ejec</v>
      </c>
      <c r="BM74" s="15">
        <f t="shared" ref="BM74:BM127" si="45">IF(AND(AQ74=0,AT74=0),"No Prog ni Ejec",IF(AQ74=0,CONCATENATE("No Prog, Ejec=  ",AT74),AT74/AQ74))</f>
        <v>0</v>
      </c>
      <c r="BN74" s="13" t="str">
        <f t="shared" ref="BN74:BN127" si="46">IF(AND(AS74=0,AU74=0),"No Prog ni Ejec",IF(AS74=0,CONCATENATE("No Prog, Ejec=  ",AU74),AU74/AS74))</f>
        <v>No Prog ni Ejec</v>
      </c>
      <c r="BO74" s="13">
        <f t="shared" ref="BO74:BO127" si="47">IF(AND(AZ74=0,BC74=0),"No Prog ni Ejec",IF(AZ74=0,CONCATENATE("No Prog, Ejec=  ",BC74),BC74/AZ74))</f>
        <v>0</v>
      </c>
      <c r="BP74" s="13" t="str">
        <f t="shared" ref="BP74:BP127" si="48">IF(AND(BB74=0,BD74=0),"No Prog ni Ejec",IF(BB74=0,CONCATENATE("No Prog, Ejec=  ",BD74),BD74/BB74))</f>
        <v>No Prog ni Ejec</v>
      </c>
      <c r="BQ74" s="1"/>
    </row>
    <row r="75" spans="1:69" ht="105" x14ac:dyDescent="0.25">
      <c r="A75" s="62">
        <v>11600</v>
      </c>
      <c r="B75" s="63" t="str">
        <f>+VLOOKUP(A75,'[2]TAB. REF. PA'!$A$5:$B$15,2,FALSE)</f>
        <v>Dirección de Gestión de Tecnología de la Información y la Comunicación</v>
      </c>
      <c r="C75" s="64" t="s">
        <v>267</v>
      </c>
      <c r="D75" s="63" t="s">
        <v>256</v>
      </c>
      <c r="E75" s="64" t="s">
        <v>269</v>
      </c>
      <c r="F75" s="63" t="s">
        <v>159</v>
      </c>
      <c r="G75" s="65" t="s">
        <v>123</v>
      </c>
      <c r="H75" s="74">
        <v>1</v>
      </c>
      <c r="I75" s="64" t="s">
        <v>272</v>
      </c>
      <c r="J75" s="66" t="s">
        <v>598</v>
      </c>
      <c r="K75" s="67">
        <v>0</v>
      </c>
      <c r="L75" s="68">
        <v>1</v>
      </c>
      <c r="M75" s="69" t="s">
        <v>51</v>
      </c>
      <c r="N75" s="69" t="s">
        <v>68</v>
      </c>
      <c r="O75" s="69" t="s">
        <v>21</v>
      </c>
      <c r="P75" s="69" t="s">
        <v>36</v>
      </c>
      <c r="Q75" s="69" t="s">
        <v>75</v>
      </c>
      <c r="R75" s="70"/>
      <c r="S75" s="69" t="s">
        <v>632</v>
      </c>
      <c r="T75" s="69" t="s">
        <v>98</v>
      </c>
      <c r="U75" s="68">
        <v>1</v>
      </c>
      <c r="V75" s="63" t="str">
        <f>+$J$74</f>
        <v>Reportar el cumplimiento del Plan de Acción de la Dependencia</v>
      </c>
      <c r="W75" s="77">
        <v>0</v>
      </c>
      <c r="X75" s="62" t="s">
        <v>117</v>
      </c>
      <c r="Y75" s="68">
        <v>0.25</v>
      </c>
      <c r="Z75" s="63" t="str">
        <f>+$J$74</f>
        <v>Reportar el cumplimiento del Plan de Acción de la Dependencia</v>
      </c>
      <c r="AA75" s="77">
        <v>0</v>
      </c>
      <c r="AB75" s="70"/>
      <c r="AC75" s="70"/>
      <c r="AD75" s="68">
        <f t="shared" si="25"/>
        <v>0</v>
      </c>
      <c r="AE75" s="68" t="e">
        <f t="shared" si="26"/>
        <v>#DIV/0!</v>
      </c>
      <c r="AF75" s="68">
        <f t="shared" si="27"/>
        <v>0</v>
      </c>
      <c r="AG75" s="68" t="e">
        <f t="shared" si="28"/>
        <v>#DIV/0!</v>
      </c>
      <c r="AH75" s="68">
        <v>0.25</v>
      </c>
      <c r="AI75" s="63" t="str">
        <f>+$J$74</f>
        <v>Reportar el cumplimiento del Plan de Acción de la Dependencia</v>
      </c>
      <c r="AJ75" s="77">
        <v>0</v>
      </c>
      <c r="AK75" s="70"/>
      <c r="AL75" s="70"/>
      <c r="AM75" s="68">
        <f t="shared" si="29"/>
        <v>0</v>
      </c>
      <c r="AN75" s="68" t="e">
        <f t="shared" si="30"/>
        <v>#DIV/0!</v>
      </c>
      <c r="AO75" s="68">
        <f t="shared" si="31"/>
        <v>0</v>
      </c>
      <c r="AP75" s="71" t="e">
        <f t="shared" si="32"/>
        <v>#DIV/0!</v>
      </c>
      <c r="AQ75" s="68">
        <v>0.25</v>
      </c>
      <c r="AR75" s="63" t="str">
        <f>+$J$74</f>
        <v>Reportar el cumplimiento del Plan de Acción de la Dependencia</v>
      </c>
      <c r="AS75" s="77">
        <v>0</v>
      </c>
      <c r="AT75" s="70"/>
      <c r="AU75" s="70"/>
      <c r="AV75" s="68">
        <f t="shared" si="33"/>
        <v>0</v>
      </c>
      <c r="AW75" s="68" t="e">
        <f t="shared" si="34"/>
        <v>#DIV/0!</v>
      </c>
      <c r="AX75" s="68">
        <f t="shared" si="35"/>
        <v>0</v>
      </c>
      <c r="AY75" s="68" t="e">
        <f t="shared" si="36"/>
        <v>#DIV/0!</v>
      </c>
      <c r="AZ75" s="68">
        <v>0.25</v>
      </c>
      <c r="BA75" s="63" t="str">
        <f>+$J$74</f>
        <v>Reportar el cumplimiento del Plan de Acción de la Dependencia</v>
      </c>
      <c r="BB75" s="77">
        <v>0</v>
      </c>
      <c r="BC75" s="70"/>
      <c r="BD75" s="70"/>
      <c r="BE75" s="68">
        <f t="shared" si="37"/>
        <v>0</v>
      </c>
      <c r="BF75" s="68" t="e">
        <f t="shared" si="38"/>
        <v>#DIV/0!</v>
      </c>
      <c r="BG75" s="68">
        <f t="shared" si="39"/>
        <v>0</v>
      </c>
      <c r="BH75" s="68" t="e">
        <f t="shared" si="40"/>
        <v>#DIV/0!</v>
      </c>
      <c r="BI75" s="13">
        <f t="shared" si="41"/>
        <v>0</v>
      </c>
      <c r="BJ75" s="13" t="str">
        <f t="shared" si="42"/>
        <v>No Prog ni Ejec</v>
      </c>
      <c r="BK75" s="17">
        <f t="shared" si="43"/>
        <v>0</v>
      </c>
      <c r="BL75" s="13" t="str">
        <f t="shared" si="44"/>
        <v>No Prog ni Ejec</v>
      </c>
      <c r="BM75" s="15">
        <f t="shared" si="45"/>
        <v>0</v>
      </c>
      <c r="BN75" s="13" t="str">
        <f t="shared" si="46"/>
        <v>No Prog ni Ejec</v>
      </c>
      <c r="BO75" s="13">
        <f t="shared" si="47"/>
        <v>0</v>
      </c>
      <c r="BP75" s="13" t="str">
        <f t="shared" si="48"/>
        <v>No Prog ni Ejec</v>
      </c>
      <c r="BQ75" s="1"/>
    </row>
    <row r="76" spans="1:69" ht="105" x14ac:dyDescent="0.25">
      <c r="A76" s="62">
        <v>11600</v>
      </c>
      <c r="B76" s="63" t="str">
        <f>+VLOOKUP(A76,'[2]TAB. REF. PA'!$A$5:$B$15,2,FALSE)</f>
        <v>Dirección de Gestión de Tecnología de la Información y la Comunicación</v>
      </c>
      <c r="C76" s="64" t="s">
        <v>267</v>
      </c>
      <c r="D76" s="63" t="s">
        <v>256</v>
      </c>
      <c r="E76" s="64" t="s">
        <v>270</v>
      </c>
      <c r="F76" s="63" t="s">
        <v>127</v>
      </c>
      <c r="G76" s="65" t="s">
        <v>124</v>
      </c>
      <c r="H76" s="64">
        <v>4</v>
      </c>
      <c r="I76" s="64" t="s">
        <v>273</v>
      </c>
      <c r="J76" s="66" t="s">
        <v>128</v>
      </c>
      <c r="K76" s="67">
        <v>0</v>
      </c>
      <c r="L76" s="68">
        <v>1</v>
      </c>
      <c r="M76" s="69" t="s">
        <v>51</v>
      </c>
      <c r="N76" s="69" t="s">
        <v>68</v>
      </c>
      <c r="O76" s="69" t="s">
        <v>21</v>
      </c>
      <c r="P76" s="69" t="s">
        <v>36</v>
      </c>
      <c r="Q76" s="69" t="s">
        <v>75</v>
      </c>
      <c r="R76" s="70"/>
      <c r="S76" s="69" t="s">
        <v>137</v>
      </c>
      <c r="T76" s="69" t="s">
        <v>98</v>
      </c>
      <c r="U76" s="64">
        <v>4</v>
      </c>
      <c r="V76" s="63" t="str">
        <f>+$J$75</f>
        <v>Formular los procesos y procedimientos en el marco del MIPG</v>
      </c>
      <c r="W76" s="77">
        <v>0</v>
      </c>
      <c r="X76" s="62"/>
      <c r="Y76" s="64">
        <v>1</v>
      </c>
      <c r="Z76" s="63" t="str">
        <f>+$J$75</f>
        <v>Formular los procesos y procedimientos en el marco del MIPG</v>
      </c>
      <c r="AA76" s="77">
        <v>0</v>
      </c>
      <c r="AB76" s="70"/>
      <c r="AC76" s="70"/>
      <c r="AD76" s="68">
        <f t="shared" si="25"/>
        <v>0</v>
      </c>
      <c r="AE76" s="68" t="e">
        <f t="shared" si="26"/>
        <v>#DIV/0!</v>
      </c>
      <c r="AF76" s="68">
        <f t="shared" si="27"/>
        <v>0</v>
      </c>
      <c r="AG76" s="68" t="e">
        <f t="shared" si="28"/>
        <v>#DIV/0!</v>
      </c>
      <c r="AH76" s="64">
        <v>1</v>
      </c>
      <c r="AI76" s="63" t="str">
        <f>+$J$75</f>
        <v>Formular los procesos y procedimientos en el marco del MIPG</v>
      </c>
      <c r="AJ76" s="77">
        <v>0</v>
      </c>
      <c r="AK76" s="70"/>
      <c r="AL76" s="70"/>
      <c r="AM76" s="68">
        <f t="shared" si="29"/>
        <v>0</v>
      </c>
      <c r="AN76" s="68" t="e">
        <f t="shared" si="30"/>
        <v>#DIV/0!</v>
      </c>
      <c r="AO76" s="68">
        <f t="shared" si="31"/>
        <v>0</v>
      </c>
      <c r="AP76" s="71" t="e">
        <f t="shared" si="32"/>
        <v>#DIV/0!</v>
      </c>
      <c r="AQ76" s="64">
        <v>1</v>
      </c>
      <c r="AR76" s="63" t="str">
        <f>+$J$75</f>
        <v>Formular los procesos y procedimientos en el marco del MIPG</v>
      </c>
      <c r="AS76" s="77">
        <v>0</v>
      </c>
      <c r="AT76" s="70"/>
      <c r="AU76" s="70"/>
      <c r="AV76" s="68">
        <f t="shared" si="33"/>
        <v>0</v>
      </c>
      <c r="AW76" s="68" t="e">
        <f t="shared" si="34"/>
        <v>#DIV/0!</v>
      </c>
      <c r="AX76" s="68">
        <f t="shared" si="35"/>
        <v>0</v>
      </c>
      <c r="AY76" s="68" t="e">
        <f t="shared" si="36"/>
        <v>#DIV/0!</v>
      </c>
      <c r="AZ76" s="64">
        <v>1</v>
      </c>
      <c r="BA76" s="63" t="str">
        <f>+$J$75</f>
        <v>Formular los procesos y procedimientos en el marco del MIPG</v>
      </c>
      <c r="BB76" s="77">
        <v>0</v>
      </c>
      <c r="BC76" s="70"/>
      <c r="BD76" s="70"/>
      <c r="BE76" s="68">
        <f t="shared" si="37"/>
        <v>0</v>
      </c>
      <c r="BF76" s="68" t="e">
        <f t="shared" si="38"/>
        <v>#DIV/0!</v>
      </c>
      <c r="BG76" s="68">
        <f t="shared" si="39"/>
        <v>0</v>
      </c>
      <c r="BH76" s="68" t="e">
        <f t="shared" si="40"/>
        <v>#DIV/0!</v>
      </c>
      <c r="BI76" s="13">
        <f t="shared" si="41"/>
        <v>0</v>
      </c>
      <c r="BJ76" s="13" t="str">
        <f t="shared" si="42"/>
        <v>No Prog ni Ejec</v>
      </c>
      <c r="BK76" s="17">
        <f t="shared" si="43"/>
        <v>0</v>
      </c>
      <c r="BL76" s="13" t="str">
        <f t="shared" si="44"/>
        <v>No Prog ni Ejec</v>
      </c>
      <c r="BM76" s="15">
        <f t="shared" si="45"/>
        <v>0</v>
      </c>
      <c r="BN76" s="13" t="str">
        <f t="shared" si="46"/>
        <v>No Prog ni Ejec</v>
      </c>
      <c r="BO76" s="13">
        <f t="shared" si="47"/>
        <v>0</v>
      </c>
      <c r="BP76" s="13" t="str">
        <f t="shared" si="48"/>
        <v>No Prog ni Ejec</v>
      </c>
      <c r="BQ76" s="1"/>
    </row>
    <row r="77" spans="1:69" ht="75" x14ac:dyDescent="0.25">
      <c r="A77" s="62">
        <v>11600</v>
      </c>
      <c r="B77" s="63" t="str">
        <f>+VLOOKUP(A77,'[2]TAB. REF. PA'!$A$5:$B$15,2,FALSE)</f>
        <v>Dirección de Gestión de Tecnología de la Información y la Comunicación</v>
      </c>
      <c r="C77" s="64" t="s">
        <v>278</v>
      </c>
      <c r="D77" s="63" t="s">
        <v>147</v>
      </c>
      <c r="E77" s="64" t="s">
        <v>279</v>
      </c>
      <c r="F77" s="63" t="s">
        <v>277</v>
      </c>
      <c r="G77" s="65" t="s">
        <v>124</v>
      </c>
      <c r="H77" s="64">
        <v>1</v>
      </c>
      <c r="I77" s="64" t="s">
        <v>282</v>
      </c>
      <c r="J77" s="66" t="s">
        <v>280</v>
      </c>
      <c r="K77" s="67">
        <v>0</v>
      </c>
      <c r="L77" s="68">
        <v>1</v>
      </c>
      <c r="M77" s="69" t="s">
        <v>46</v>
      </c>
      <c r="N77" s="69" t="s">
        <v>73</v>
      </c>
      <c r="O77" s="69" t="s">
        <v>37</v>
      </c>
      <c r="P77" s="69" t="s">
        <v>40</v>
      </c>
      <c r="Q77" s="69" t="s">
        <v>228</v>
      </c>
      <c r="R77" s="70"/>
      <c r="S77" s="69" t="s">
        <v>633</v>
      </c>
      <c r="T77" s="69" t="s">
        <v>99</v>
      </c>
      <c r="U77" s="70">
        <v>1</v>
      </c>
      <c r="V77" s="63" t="str">
        <f>$J$76</f>
        <v>Remitir informes trimestrales de los indicadores formulados y las acciones de mejoras</v>
      </c>
      <c r="W77" s="77">
        <v>0</v>
      </c>
      <c r="X77" s="62" t="s">
        <v>117</v>
      </c>
      <c r="Y77" s="70">
        <v>0</v>
      </c>
      <c r="Z77" s="63" t="str">
        <f>V77</f>
        <v>Remitir informes trimestrales de los indicadores formulados y las acciones de mejoras</v>
      </c>
      <c r="AA77" s="77">
        <v>0</v>
      </c>
      <c r="AB77" s="70"/>
      <c r="AC77" s="70"/>
      <c r="AD77" s="68" t="e">
        <f t="shared" si="25"/>
        <v>#DIV/0!</v>
      </c>
      <c r="AE77" s="68" t="e">
        <f t="shared" si="26"/>
        <v>#DIV/0!</v>
      </c>
      <c r="AF77" s="68">
        <f t="shared" si="27"/>
        <v>0</v>
      </c>
      <c r="AG77" s="68" t="e">
        <f t="shared" si="28"/>
        <v>#DIV/0!</v>
      </c>
      <c r="AH77" s="70">
        <v>1</v>
      </c>
      <c r="AI77" s="63" t="str">
        <f>$V$76</f>
        <v>Formular los procesos y procedimientos en el marco del MIPG</v>
      </c>
      <c r="AJ77" s="77">
        <v>0</v>
      </c>
      <c r="AK77" s="70"/>
      <c r="AL77" s="70"/>
      <c r="AM77" s="68">
        <f t="shared" si="29"/>
        <v>0</v>
      </c>
      <c r="AN77" s="68" t="e">
        <f t="shared" si="30"/>
        <v>#DIV/0!</v>
      </c>
      <c r="AO77" s="68">
        <f t="shared" si="31"/>
        <v>0</v>
      </c>
      <c r="AP77" s="71" t="e">
        <f t="shared" si="32"/>
        <v>#DIV/0!</v>
      </c>
      <c r="AQ77" s="77">
        <v>0</v>
      </c>
      <c r="AR77" s="63" t="str">
        <f>$V$76</f>
        <v>Formular los procesos y procedimientos en el marco del MIPG</v>
      </c>
      <c r="AS77" s="77">
        <v>0</v>
      </c>
      <c r="AT77" s="70"/>
      <c r="AU77" s="70"/>
      <c r="AV77" s="68" t="e">
        <f t="shared" si="33"/>
        <v>#DIV/0!</v>
      </c>
      <c r="AW77" s="68" t="e">
        <f t="shared" si="34"/>
        <v>#DIV/0!</v>
      </c>
      <c r="AX77" s="68">
        <f t="shared" si="35"/>
        <v>0</v>
      </c>
      <c r="AY77" s="68" t="e">
        <f t="shared" si="36"/>
        <v>#DIV/0!</v>
      </c>
      <c r="AZ77" s="77">
        <v>0</v>
      </c>
      <c r="BA77" s="63" t="str">
        <f>$V$76</f>
        <v>Formular los procesos y procedimientos en el marco del MIPG</v>
      </c>
      <c r="BB77" s="77">
        <v>0</v>
      </c>
      <c r="BC77" s="70"/>
      <c r="BD77" s="70"/>
      <c r="BE77" s="68" t="e">
        <f t="shared" si="37"/>
        <v>#DIV/0!</v>
      </c>
      <c r="BF77" s="68" t="e">
        <f t="shared" si="38"/>
        <v>#DIV/0!</v>
      </c>
      <c r="BG77" s="68">
        <f t="shared" si="39"/>
        <v>0</v>
      </c>
      <c r="BH77" s="68" t="e">
        <f t="shared" si="40"/>
        <v>#DIV/0!</v>
      </c>
      <c r="BI77" s="13" t="str">
        <f t="shared" si="41"/>
        <v>No Prog ni Ejec</v>
      </c>
      <c r="BJ77" s="13" t="str">
        <f t="shared" si="42"/>
        <v>No Prog ni Ejec</v>
      </c>
      <c r="BK77" s="17">
        <f t="shared" si="43"/>
        <v>0</v>
      </c>
      <c r="BL77" s="13" t="str">
        <f t="shared" si="44"/>
        <v>No Prog ni Ejec</v>
      </c>
      <c r="BM77" s="15" t="str">
        <f t="shared" si="45"/>
        <v>No Prog ni Ejec</v>
      </c>
      <c r="BN77" s="13" t="str">
        <f t="shared" si="46"/>
        <v>No Prog ni Ejec</v>
      </c>
      <c r="BO77" s="13" t="str">
        <f t="shared" si="47"/>
        <v>No Prog ni Ejec</v>
      </c>
      <c r="BP77" s="13" t="str">
        <f t="shared" si="48"/>
        <v>No Prog ni Ejec</v>
      </c>
      <c r="BQ77" s="1"/>
    </row>
    <row r="78" spans="1:69" ht="150" x14ac:dyDescent="0.25">
      <c r="A78" s="62">
        <v>11600</v>
      </c>
      <c r="B78" s="63" t="str">
        <f>+VLOOKUP(A78,'[2]TAB. REF. PA'!$A$5:$B$15,2,FALSE)</f>
        <v>Dirección de Gestión de Tecnología de la Información y la Comunicación</v>
      </c>
      <c r="C78" s="64" t="s">
        <v>278</v>
      </c>
      <c r="D78" s="63" t="s">
        <v>147</v>
      </c>
      <c r="E78" s="64" t="s">
        <v>513</v>
      </c>
      <c r="F78" s="63" t="s">
        <v>283</v>
      </c>
      <c r="G78" s="65" t="s">
        <v>123</v>
      </c>
      <c r="H78" s="74">
        <v>1</v>
      </c>
      <c r="I78" s="64" t="s">
        <v>514</v>
      </c>
      <c r="J78" s="66" t="s">
        <v>281</v>
      </c>
      <c r="K78" s="67">
        <f>5811090979-737488220</f>
        <v>5073602759</v>
      </c>
      <c r="L78" s="68">
        <v>1</v>
      </c>
      <c r="M78" s="69" t="s">
        <v>46</v>
      </c>
      <c r="N78" s="69" t="s">
        <v>73</v>
      </c>
      <c r="O78" s="69" t="s">
        <v>37</v>
      </c>
      <c r="P78" s="69" t="s">
        <v>40</v>
      </c>
      <c r="Q78" s="69" t="s">
        <v>228</v>
      </c>
      <c r="R78" s="70"/>
      <c r="S78" s="69" t="s">
        <v>634</v>
      </c>
      <c r="T78" s="69" t="s">
        <v>99</v>
      </c>
      <c r="U78" s="68">
        <v>1</v>
      </c>
      <c r="V78" s="63" t="str">
        <f>+$J$77</f>
        <v>Desarrollo e implementación del PETI</v>
      </c>
      <c r="W78" s="77">
        <v>5073602759</v>
      </c>
      <c r="X78" s="62" t="s">
        <v>114</v>
      </c>
      <c r="Y78" s="68">
        <f>+AA78/W78</f>
        <v>0.13219897304087358</v>
      </c>
      <c r="Z78" s="63" t="str">
        <f>+$J$77</f>
        <v>Desarrollo e implementación del PETI</v>
      </c>
      <c r="AA78" s="77">
        <v>670725074.35714281</v>
      </c>
      <c r="AB78" s="104"/>
      <c r="AC78" s="70"/>
      <c r="AD78" s="68">
        <f t="shared" si="25"/>
        <v>0</v>
      </c>
      <c r="AE78" s="68">
        <f t="shared" si="26"/>
        <v>0</v>
      </c>
      <c r="AF78" s="68">
        <f t="shared" si="27"/>
        <v>0</v>
      </c>
      <c r="AG78" s="68">
        <f t="shared" si="28"/>
        <v>0</v>
      </c>
      <c r="AH78" s="68">
        <f>+AJ78/W78</f>
        <v>0.15915595257019777</v>
      </c>
      <c r="AI78" s="63" t="str">
        <f>+$J$77</f>
        <v>Desarrollo e implementación del PETI</v>
      </c>
      <c r="AJ78" s="77">
        <v>807494080.07142854</v>
      </c>
      <c r="AK78" s="104"/>
      <c r="AL78" s="70"/>
      <c r="AM78" s="68">
        <f t="shared" si="29"/>
        <v>0</v>
      </c>
      <c r="AN78" s="68">
        <f t="shared" si="30"/>
        <v>0</v>
      </c>
      <c r="AO78" s="68">
        <f t="shared" si="31"/>
        <v>0</v>
      </c>
      <c r="AP78" s="71">
        <f t="shared" si="32"/>
        <v>0</v>
      </c>
      <c r="AQ78" s="68">
        <f>+AS78/W78</f>
        <v>0.32737162236934764</v>
      </c>
      <c r="AR78" s="63" t="str">
        <f>+$J$77</f>
        <v>Desarrollo e implementación del PETI</v>
      </c>
      <c r="AS78" s="77">
        <v>1660953566.4714284</v>
      </c>
      <c r="AT78" s="104"/>
      <c r="AU78" s="70"/>
      <c r="AV78" s="68">
        <f t="shared" si="33"/>
        <v>0</v>
      </c>
      <c r="AW78" s="68">
        <f t="shared" si="34"/>
        <v>0</v>
      </c>
      <c r="AX78" s="68">
        <f t="shared" si="35"/>
        <v>0</v>
      </c>
      <c r="AY78" s="68">
        <f t="shared" si="36"/>
        <v>0</v>
      </c>
      <c r="AZ78" s="68">
        <f>+BB78/W78</f>
        <v>0.38127345201958091</v>
      </c>
      <c r="BA78" s="63" t="str">
        <f>+$J$77</f>
        <v>Desarrollo e implementación del PETI</v>
      </c>
      <c r="BB78" s="77">
        <v>1934430038.0999999</v>
      </c>
      <c r="BC78" s="104"/>
      <c r="BD78" s="70"/>
      <c r="BE78" s="68">
        <f t="shared" si="37"/>
        <v>0</v>
      </c>
      <c r="BF78" s="68">
        <f t="shared" si="38"/>
        <v>0</v>
      </c>
      <c r="BG78" s="68">
        <f t="shared" si="39"/>
        <v>0</v>
      </c>
      <c r="BH78" s="68">
        <f t="shared" si="40"/>
        <v>0</v>
      </c>
      <c r="BI78" s="13">
        <f t="shared" si="41"/>
        <v>0</v>
      </c>
      <c r="BJ78" s="13">
        <f t="shared" si="42"/>
        <v>0</v>
      </c>
      <c r="BK78" s="17">
        <f t="shared" si="43"/>
        <v>0</v>
      </c>
      <c r="BL78" s="13">
        <f t="shared" si="44"/>
        <v>0</v>
      </c>
      <c r="BM78" s="15">
        <f t="shared" si="45"/>
        <v>0</v>
      </c>
      <c r="BN78" s="13">
        <f t="shared" si="46"/>
        <v>0</v>
      </c>
      <c r="BO78" s="13">
        <f t="shared" si="47"/>
        <v>0</v>
      </c>
      <c r="BP78" s="13">
        <f t="shared" si="48"/>
        <v>0</v>
      </c>
      <c r="BQ78" s="1"/>
    </row>
    <row r="79" spans="1:69" ht="210" x14ac:dyDescent="0.25">
      <c r="A79" s="62">
        <v>11600</v>
      </c>
      <c r="B79" s="63" t="str">
        <f>+VLOOKUP(A79,'[2]TAB. REF. PA'!$A$5:$B$15,2,FALSE)</f>
        <v>Dirección de Gestión de Tecnología de la Información y la Comunicación</v>
      </c>
      <c r="C79" s="64" t="s">
        <v>278</v>
      </c>
      <c r="D79" s="63" t="s">
        <v>147</v>
      </c>
      <c r="E79" s="64" t="s">
        <v>516</v>
      </c>
      <c r="F79" s="63" t="s">
        <v>285</v>
      </c>
      <c r="G79" s="65" t="s">
        <v>123</v>
      </c>
      <c r="H79" s="74">
        <v>1</v>
      </c>
      <c r="I79" s="64" t="s">
        <v>517</v>
      </c>
      <c r="J79" s="66" t="s">
        <v>284</v>
      </c>
      <c r="K79" s="67">
        <v>1024732093</v>
      </c>
      <c r="L79" s="68">
        <v>1</v>
      </c>
      <c r="M79" s="69" t="s">
        <v>46</v>
      </c>
      <c r="N79" s="69" t="s">
        <v>73</v>
      </c>
      <c r="O79" s="69" t="s">
        <v>37</v>
      </c>
      <c r="P79" s="69" t="s">
        <v>40</v>
      </c>
      <c r="Q79" s="69" t="s">
        <v>228</v>
      </c>
      <c r="R79" s="70"/>
      <c r="S79" s="69" t="s">
        <v>379</v>
      </c>
      <c r="T79" s="69" t="s">
        <v>99</v>
      </c>
      <c r="U79" s="68">
        <v>1</v>
      </c>
      <c r="V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W79" s="77">
        <v>1024732093</v>
      </c>
      <c r="X79" s="62" t="s">
        <v>114</v>
      </c>
      <c r="Y79" s="68">
        <v>0</v>
      </c>
      <c r="Z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A79" s="77">
        <f>+W79*Y79</f>
        <v>0</v>
      </c>
      <c r="AB79" s="70"/>
      <c r="AC79" s="70"/>
      <c r="AD79" s="68" t="e">
        <f t="shared" si="25"/>
        <v>#DIV/0!</v>
      </c>
      <c r="AE79" s="68" t="e">
        <f t="shared" si="26"/>
        <v>#DIV/0!</v>
      </c>
      <c r="AF79" s="68">
        <f t="shared" si="27"/>
        <v>0</v>
      </c>
      <c r="AG79" s="68">
        <f t="shared" si="28"/>
        <v>0</v>
      </c>
      <c r="AH79" s="68">
        <f>AJ79/$W$79</f>
        <v>0.10208131541362782</v>
      </c>
      <c r="AI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J79" s="77">
        <v>104606000</v>
      </c>
      <c r="AK79" s="113"/>
      <c r="AL79" s="70"/>
      <c r="AM79" s="68">
        <f t="shared" si="29"/>
        <v>0</v>
      </c>
      <c r="AN79" s="68">
        <f t="shared" si="30"/>
        <v>0</v>
      </c>
      <c r="AO79" s="68">
        <f t="shared" si="31"/>
        <v>0</v>
      </c>
      <c r="AP79" s="71">
        <f t="shared" si="32"/>
        <v>0</v>
      </c>
      <c r="AQ79" s="68">
        <f>AS79/$W$79</f>
        <v>0.33293564174533957</v>
      </c>
      <c r="AR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AS79" s="77">
        <v>341169837</v>
      </c>
      <c r="AT79" s="104"/>
      <c r="AU79" s="113"/>
      <c r="AV79" s="68">
        <f t="shared" si="33"/>
        <v>0</v>
      </c>
      <c r="AW79" s="68">
        <f t="shared" si="34"/>
        <v>0</v>
      </c>
      <c r="AX79" s="68">
        <f t="shared" si="35"/>
        <v>0</v>
      </c>
      <c r="AY79" s="68">
        <f t="shared" si="36"/>
        <v>0</v>
      </c>
      <c r="AZ79" s="68">
        <f>BB79/$W$79</f>
        <v>0.56498304284103262</v>
      </c>
      <c r="BA79" s="63" t="str">
        <f>+$J$78</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B79" s="77">
        <v>578956256</v>
      </c>
      <c r="BC79" s="104"/>
      <c r="BD79" s="113"/>
      <c r="BE79" s="68">
        <f t="shared" si="37"/>
        <v>0</v>
      </c>
      <c r="BF79" s="68">
        <f t="shared" si="38"/>
        <v>0</v>
      </c>
      <c r="BG79" s="68">
        <f t="shared" si="39"/>
        <v>0</v>
      </c>
      <c r="BH79" s="68">
        <f t="shared" si="40"/>
        <v>0</v>
      </c>
      <c r="BI79" s="13" t="str">
        <f t="shared" si="41"/>
        <v>No Prog ni Ejec</v>
      </c>
      <c r="BJ79" s="13" t="str">
        <f t="shared" si="42"/>
        <v>No Prog ni Ejec</v>
      </c>
      <c r="BK79" s="17">
        <f t="shared" si="43"/>
        <v>0</v>
      </c>
      <c r="BL79" s="13">
        <f t="shared" si="44"/>
        <v>0</v>
      </c>
      <c r="BM79" s="15">
        <f t="shared" si="45"/>
        <v>0</v>
      </c>
      <c r="BN79" s="13">
        <f t="shared" si="46"/>
        <v>0</v>
      </c>
      <c r="BO79" s="13">
        <f t="shared" si="47"/>
        <v>0</v>
      </c>
      <c r="BP79" s="13">
        <f t="shared" si="48"/>
        <v>0</v>
      </c>
      <c r="BQ79" s="1"/>
    </row>
    <row r="80" spans="1:69" ht="90" x14ac:dyDescent="0.25">
      <c r="A80" s="62">
        <v>11600</v>
      </c>
      <c r="B80" s="63" t="str">
        <f>+VLOOKUP(A80,'[2]TAB. REF. PA'!$A$5:$B$15,2,FALSE)</f>
        <v>Dirección de Gestión de Tecnología de la Información y la Comunicación</v>
      </c>
      <c r="C80" s="64" t="s">
        <v>278</v>
      </c>
      <c r="D80" s="63" t="s">
        <v>147</v>
      </c>
      <c r="E80" s="64" t="s">
        <v>518</v>
      </c>
      <c r="F80" s="63" t="s">
        <v>287</v>
      </c>
      <c r="G80" s="65" t="s">
        <v>123</v>
      </c>
      <c r="H80" s="74">
        <v>1</v>
      </c>
      <c r="I80" s="64" t="s">
        <v>519</v>
      </c>
      <c r="J80" s="66" t="s">
        <v>287</v>
      </c>
      <c r="K80" s="67">
        <v>180000000</v>
      </c>
      <c r="L80" s="68">
        <v>1</v>
      </c>
      <c r="M80" s="69" t="s">
        <v>46</v>
      </c>
      <c r="N80" s="69" t="s">
        <v>73</v>
      </c>
      <c r="O80" s="69" t="s">
        <v>37</v>
      </c>
      <c r="P80" s="69" t="s">
        <v>40</v>
      </c>
      <c r="Q80" s="69" t="s">
        <v>228</v>
      </c>
      <c r="R80" s="70"/>
      <c r="S80" s="69" t="s">
        <v>634</v>
      </c>
      <c r="T80" s="69" t="s">
        <v>99</v>
      </c>
      <c r="U80" s="68">
        <v>1</v>
      </c>
      <c r="V80" s="63" t="str">
        <f>+$J$79</f>
        <v>Gestionar y administrar los procesos de adquisición y actualización del licenciamiento, requerido para el desarrollo de las actividades de la Entidad.</v>
      </c>
      <c r="W80" s="77">
        <v>180000000</v>
      </c>
      <c r="X80" s="62" t="s">
        <v>114</v>
      </c>
      <c r="Y80" s="68">
        <v>0</v>
      </c>
      <c r="Z80" s="63" t="str">
        <f>+$J$79</f>
        <v>Gestionar y administrar los procesos de adquisición y actualización del licenciamiento, requerido para el desarrollo de las actividades de la Entidad.</v>
      </c>
      <c r="AA80" s="77">
        <v>0</v>
      </c>
      <c r="AB80" s="70"/>
      <c r="AC80" s="70"/>
      <c r="AD80" s="68" t="e">
        <f t="shared" si="25"/>
        <v>#DIV/0!</v>
      </c>
      <c r="AE80" s="68" t="e">
        <f t="shared" si="26"/>
        <v>#DIV/0!</v>
      </c>
      <c r="AF80" s="68">
        <f t="shared" si="27"/>
        <v>0</v>
      </c>
      <c r="AG80" s="68">
        <f t="shared" si="28"/>
        <v>0</v>
      </c>
      <c r="AH80" s="68">
        <v>0</v>
      </c>
      <c r="AI80" s="63" t="str">
        <f>+$J$79</f>
        <v>Gestionar y administrar los procesos de adquisición y actualización del licenciamiento, requerido para el desarrollo de las actividades de la Entidad.</v>
      </c>
      <c r="AJ80" s="77">
        <v>0</v>
      </c>
      <c r="AK80" s="70"/>
      <c r="AL80" s="70"/>
      <c r="AM80" s="68" t="e">
        <f t="shared" si="29"/>
        <v>#DIV/0!</v>
      </c>
      <c r="AN80" s="68" t="e">
        <f t="shared" si="30"/>
        <v>#DIV/0!</v>
      </c>
      <c r="AO80" s="68">
        <f t="shared" si="31"/>
        <v>0</v>
      </c>
      <c r="AP80" s="71">
        <f t="shared" si="32"/>
        <v>0</v>
      </c>
      <c r="AQ80" s="68">
        <v>0.5</v>
      </c>
      <c r="AR80" s="63" t="str">
        <f>+$J$79</f>
        <v>Gestionar y administrar los procesos de adquisición y actualización del licenciamiento, requerido para el desarrollo de las actividades de la Entidad.</v>
      </c>
      <c r="AS80" s="77">
        <v>90000000</v>
      </c>
      <c r="AT80" s="70"/>
      <c r="AU80" s="70"/>
      <c r="AV80" s="68">
        <f t="shared" si="33"/>
        <v>0</v>
      </c>
      <c r="AW80" s="68">
        <f t="shared" si="34"/>
        <v>0</v>
      </c>
      <c r="AX80" s="68">
        <f t="shared" si="35"/>
        <v>0</v>
      </c>
      <c r="AY80" s="68">
        <f t="shared" si="36"/>
        <v>0</v>
      </c>
      <c r="AZ80" s="68">
        <v>0.5</v>
      </c>
      <c r="BA80" s="63" t="str">
        <f>+$J$79</f>
        <v>Gestionar y administrar los procesos de adquisición y actualización del licenciamiento, requerido para el desarrollo de las actividades de la Entidad.</v>
      </c>
      <c r="BB80" s="77">
        <v>90000000</v>
      </c>
      <c r="BC80" s="70"/>
      <c r="BD80" s="70"/>
      <c r="BE80" s="68">
        <f t="shared" si="37"/>
        <v>0</v>
      </c>
      <c r="BF80" s="68">
        <f t="shared" si="38"/>
        <v>0</v>
      </c>
      <c r="BG80" s="68">
        <f t="shared" si="39"/>
        <v>0</v>
      </c>
      <c r="BH80" s="68">
        <f t="shared" si="40"/>
        <v>0</v>
      </c>
      <c r="BI80" s="13" t="str">
        <f t="shared" si="41"/>
        <v>No Prog ni Ejec</v>
      </c>
      <c r="BJ80" s="13" t="str">
        <f t="shared" si="42"/>
        <v>No Prog ni Ejec</v>
      </c>
      <c r="BK80" s="17" t="str">
        <f t="shared" si="43"/>
        <v>No Prog ni Ejec</v>
      </c>
      <c r="BL80" s="13" t="str">
        <f t="shared" si="44"/>
        <v>No Prog ni Ejec</v>
      </c>
      <c r="BM80" s="15">
        <f t="shared" si="45"/>
        <v>0</v>
      </c>
      <c r="BN80" s="13">
        <f t="shared" si="46"/>
        <v>0</v>
      </c>
      <c r="BO80" s="13">
        <f t="shared" si="47"/>
        <v>0</v>
      </c>
      <c r="BP80" s="13">
        <f t="shared" si="48"/>
        <v>0</v>
      </c>
      <c r="BQ80" s="1"/>
    </row>
    <row r="81" spans="1:69" ht="129.75" customHeight="1" x14ac:dyDescent="0.25">
      <c r="A81" s="62">
        <v>11600</v>
      </c>
      <c r="B81" s="63" t="str">
        <f>+VLOOKUP(A81,'[2]TAB. REF. PA'!$A$5:$B$15,2,FALSE)</f>
        <v>Dirección de Gestión de Tecnología de la Información y la Comunicación</v>
      </c>
      <c r="C81" s="64" t="s">
        <v>278</v>
      </c>
      <c r="D81" s="63" t="s">
        <v>147</v>
      </c>
      <c r="E81" s="64" t="s">
        <v>520</v>
      </c>
      <c r="F81" s="63" t="s">
        <v>562</v>
      </c>
      <c r="G81" s="65" t="s">
        <v>123</v>
      </c>
      <c r="H81" s="74">
        <v>1</v>
      </c>
      <c r="I81" s="64" t="s">
        <v>521</v>
      </c>
      <c r="J81" s="66" t="s">
        <v>635</v>
      </c>
      <c r="K81" s="67">
        <v>815594000</v>
      </c>
      <c r="L81" s="68">
        <v>1</v>
      </c>
      <c r="M81" s="69" t="s">
        <v>46</v>
      </c>
      <c r="N81" s="69" t="s">
        <v>73</v>
      </c>
      <c r="O81" s="69" t="s">
        <v>37</v>
      </c>
      <c r="P81" s="69" t="s">
        <v>40</v>
      </c>
      <c r="Q81" s="69" t="s">
        <v>228</v>
      </c>
      <c r="R81" s="70"/>
      <c r="S81" s="69" t="s">
        <v>636</v>
      </c>
      <c r="T81" s="69" t="s">
        <v>99</v>
      </c>
      <c r="U81" s="68">
        <v>1</v>
      </c>
      <c r="V81" s="63" t="str">
        <f>+$J$80</f>
        <v>Adquisición de bienes y/o servicios para la seguridad de la información</v>
      </c>
      <c r="W81" s="77">
        <v>815594000</v>
      </c>
      <c r="X81" s="62" t="s">
        <v>114</v>
      </c>
      <c r="Y81" s="68">
        <f>AA81/W81</f>
        <v>0</v>
      </c>
      <c r="Z81" s="63" t="str">
        <f>+$J$80</f>
        <v>Adquisición de bienes y/o servicios para la seguridad de la información</v>
      </c>
      <c r="AA81" s="77">
        <f>+VLOOKUP($I$80,'[2]Plan Adquisiciones'!$Z$5:$AD$47,5,FALSE)</f>
        <v>0</v>
      </c>
      <c r="AB81" s="77"/>
      <c r="AC81" s="70"/>
      <c r="AD81" s="68" t="e">
        <f t="shared" si="25"/>
        <v>#DIV/0!</v>
      </c>
      <c r="AE81" s="68" t="e">
        <f t="shared" si="26"/>
        <v>#DIV/0!</v>
      </c>
      <c r="AF81" s="68">
        <f t="shared" si="27"/>
        <v>0</v>
      </c>
      <c r="AG81" s="68">
        <f t="shared" si="28"/>
        <v>0</v>
      </c>
      <c r="AH81" s="68">
        <f>AJ81/W81</f>
        <v>0.27325720280548299</v>
      </c>
      <c r="AI81" s="63" t="str">
        <f>+$J$80</f>
        <v>Adquisición de bienes y/o servicios para la seguridad de la información</v>
      </c>
      <c r="AJ81" s="77">
        <v>222866935.06493509</v>
      </c>
      <c r="AK81" s="70"/>
      <c r="AL81" s="70"/>
      <c r="AM81" s="68">
        <f t="shared" si="29"/>
        <v>0</v>
      </c>
      <c r="AN81" s="68">
        <f t="shared" si="30"/>
        <v>0</v>
      </c>
      <c r="AO81" s="68">
        <f t="shared" si="31"/>
        <v>0</v>
      </c>
      <c r="AP81" s="71">
        <f t="shared" si="32"/>
        <v>0</v>
      </c>
      <c r="AQ81" s="68">
        <f>AS81/W81</f>
        <v>0.34988846787118971</v>
      </c>
      <c r="AR81" s="63" t="str">
        <f>+$J$80</f>
        <v>Adquisición de bienes y/o servicios para la seguridad de la información</v>
      </c>
      <c r="AS81" s="77">
        <v>285366935.06493509</v>
      </c>
      <c r="AT81" s="70"/>
      <c r="AU81" s="70"/>
      <c r="AV81" s="68">
        <f t="shared" si="33"/>
        <v>0</v>
      </c>
      <c r="AW81" s="68">
        <f t="shared" si="34"/>
        <v>0</v>
      </c>
      <c r="AX81" s="68">
        <f t="shared" si="35"/>
        <v>0</v>
      </c>
      <c r="AY81" s="68">
        <f t="shared" si="36"/>
        <v>0</v>
      </c>
      <c r="AZ81" s="68">
        <f>BB81/W81</f>
        <v>0.31011552762325817</v>
      </c>
      <c r="BA81" s="63" t="str">
        <f>+$J$80</f>
        <v>Adquisición de bienes y/o servicios para la seguridad de la información</v>
      </c>
      <c r="BB81" s="77">
        <v>252928363.63636363</v>
      </c>
      <c r="BC81" s="70"/>
      <c r="BD81" s="70"/>
      <c r="BE81" s="68">
        <f t="shared" si="37"/>
        <v>0</v>
      </c>
      <c r="BF81" s="68">
        <f t="shared" si="38"/>
        <v>0</v>
      </c>
      <c r="BG81" s="68">
        <f t="shared" si="39"/>
        <v>0</v>
      </c>
      <c r="BH81" s="68">
        <f t="shared" si="40"/>
        <v>0</v>
      </c>
      <c r="BI81" s="13" t="str">
        <f t="shared" si="41"/>
        <v>No Prog ni Ejec</v>
      </c>
      <c r="BJ81" s="13" t="str">
        <f t="shared" si="42"/>
        <v>No Prog ni Ejec</v>
      </c>
      <c r="BK81" s="17">
        <f t="shared" si="43"/>
        <v>0</v>
      </c>
      <c r="BL81" s="13">
        <f t="shared" si="44"/>
        <v>0</v>
      </c>
      <c r="BM81" s="15">
        <f t="shared" si="45"/>
        <v>0</v>
      </c>
      <c r="BN81" s="13">
        <f t="shared" si="46"/>
        <v>0</v>
      </c>
      <c r="BO81" s="13">
        <f t="shared" si="47"/>
        <v>0</v>
      </c>
      <c r="BP81" s="13">
        <f t="shared" si="48"/>
        <v>0</v>
      </c>
      <c r="BQ81" s="1"/>
    </row>
    <row r="82" spans="1:69" ht="90" x14ac:dyDescent="0.25">
      <c r="A82" s="62">
        <v>11600</v>
      </c>
      <c r="B82" s="63" t="str">
        <f>+VLOOKUP(A82,'[2]TAB. REF. PA'!$A$5:$B$15,2,FALSE)</f>
        <v>Dirección de Gestión de Tecnología de la Información y la Comunicación</v>
      </c>
      <c r="C82" s="64" t="s">
        <v>278</v>
      </c>
      <c r="D82" s="63" t="s">
        <v>147</v>
      </c>
      <c r="E82" s="64" t="s">
        <v>515</v>
      </c>
      <c r="F82" s="63" t="s">
        <v>637</v>
      </c>
      <c r="G82" s="65" t="s">
        <v>123</v>
      </c>
      <c r="H82" s="74">
        <v>1</v>
      </c>
      <c r="I82" s="64" t="s">
        <v>522</v>
      </c>
      <c r="J82" s="66" t="s">
        <v>637</v>
      </c>
      <c r="K82" s="67">
        <v>816000000</v>
      </c>
      <c r="L82" s="68">
        <v>1</v>
      </c>
      <c r="M82" s="69" t="s">
        <v>46</v>
      </c>
      <c r="N82" s="69" t="s">
        <v>73</v>
      </c>
      <c r="O82" s="69" t="s">
        <v>37</v>
      </c>
      <c r="P82" s="69" t="s">
        <v>40</v>
      </c>
      <c r="Q82" s="69" t="s">
        <v>228</v>
      </c>
      <c r="R82" s="70"/>
      <c r="S82" s="69" t="s">
        <v>638</v>
      </c>
      <c r="T82" s="69" t="s">
        <v>99</v>
      </c>
      <c r="U82" s="68">
        <v>1</v>
      </c>
      <c r="V82" s="63" t="str">
        <f>+$J$80</f>
        <v>Adquisición de bienes y/o servicios para la seguridad de la información</v>
      </c>
      <c r="W82" s="77">
        <v>816000000</v>
      </c>
      <c r="X82" s="62" t="s">
        <v>114</v>
      </c>
      <c r="Y82" s="68">
        <v>0</v>
      </c>
      <c r="Z82" s="63" t="str">
        <f>+$J$80</f>
        <v>Adquisición de bienes y/o servicios para la seguridad de la información</v>
      </c>
      <c r="AA82" s="77">
        <f>+VLOOKUP($I$81,'[2]Plan Adquisiciones'!$Z$5:$AD$47,5,FALSE)</f>
        <v>54431766.233766235</v>
      </c>
      <c r="AB82" s="70"/>
      <c r="AC82" s="70"/>
      <c r="AD82" s="68" t="e">
        <f t="shared" si="25"/>
        <v>#DIV/0!</v>
      </c>
      <c r="AE82" s="68">
        <f t="shared" si="26"/>
        <v>0</v>
      </c>
      <c r="AF82" s="68">
        <f t="shared" si="27"/>
        <v>0</v>
      </c>
      <c r="AG82" s="68">
        <f t="shared" si="28"/>
        <v>0</v>
      </c>
      <c r="AH82" s="68">
        <v>0</v>
      </c>
      <c r="AI82" s="63" t="str">
        <f>+$J$80</f>
        <v>Adquisición de bienes y/o servicios para la seguridad de la información</v>
      </c>
      <c r="AJ82" s="77">
        <v>0</v>
      </c>
      <c r="AK82" s="70"/>
      <c r="AL82" s="70"/>
      <c r="AM82" s="68" t="e">
        <f t="shared" si="29"/>
        <v>#DIV/0!</v>
      </c>
      <c r="AN82" s="68" t="e">
        <f t="shared" si="30"/>
        <v>#DIV/0!</v>
      </c>
      <c r="AO82" s="68">
        <f t="shared" si="31"/>
        <v>0</v>
      </c>
      <c r="AP82" s="71">
        <f t="shared" si="32"/>
        <v>0</v>
      </c>
      <c r="AQ82" s="68">
        <v>0.5</v>
      </c>
      <c r="AR82" s="63" t="str">
        <f>+$J$80</f>
        <v>Adquisición de bienes y/o servicios para la seguridad de la información</v>
      </c>
      <c r="AS82" s="77">
        <v>408000000</v>
      </c>
      <c r="AT82" s="70"/>
      <c r="AU82" s="70"/>
      <c r="AV82" s="68">
        <f t="shared" si="33"/>
        <v>0</v>
      </c>
      <c r="AW82" s="68">
        <f t="shared" si="34"/>
        <v>0</v>
      </c>
      <c r="AX82" s="68">
        <f t="shared" si="35"/>
        <v>0</v>
      </c>
      <c r="AY82" s="68">
        <f t="shared" si="36"/>
        <v>0</v>
      </c>
      <c r="AZ82" s="68">
        <v>0.5</v>
      </c>
      <c r="BA82" s="63" t="str">
        <f>+$J$80</f>
        <v>Adquisición de bienes y/o servicios para la seguridad de la información</v>
      </c>
      <c r="BB82" s="77">
        <v>408000000</v>
      </c>
      <c r="BC82" s="70"/>
      <c r="BD82" s="70"/>
      <c r="BE82" s="68">
        <f t="shared" si="37"/>
        <v>0</v>
      </c>
      <c r="BF82" s="68">
        <f t="shared" si="38"/>
        <v>0</v>
      </c>
      <c r="BG82" s="68">
        <f t="shared" si="39"/>
        <v>0</v>
      </c>
      <c r="BH82" s="68">
        <f t="shared" si="40"/>
        <v>0</v>
      </c>
      <c r="BI82" s="13" t="str">
        <f t="shared" si="41"/>
        <v>No Prog ni Ejec</v>
      </c>
      <c r="BJ82" s="13">
        <f t="shared" si="42"/>
        <v>0</v>
      </c>
      <c r="BK82" s="17" t="str">
        <f t="shared" si="43"/>
        <v>No Prog ni Ejec</v>
      </c>
      <c r="BL82" s="13" t="str">
        <f t="shared" si="44"/>
        <v>No Prog ni Ejec</v>
      </c>
      <c r="BM82" s="15">
        <f t="shared" si="45"/>
        <v>0</v>
      </c>
      <c r="BN82" s="13">
        <f t="shared" si="46"/>
        <v>0</v>
      </c>
      <c r="BO82" s="13">
        <f t="shared" si="47"/>
        <v>0</v>
      </c>
      <c r="BP82" s="13">
        <f t="shared" si="48"/>
        <v>0</v>
      </c>
      <c r="BQ82" s="1"/>
    </row>
    <row r="83" spans="1:69" ht="75" x14ac:dyDescent="0.25">
      <c r="A83" s="62">
        <v>11600</v>
      </c>
      <c r="B83" s="63" t="str">
        <f>+VLOOKUP(A83,'[2]TAB. REF. PA'!$A$5:$B$15,2,FALSE)</f>
        <v>Dirección de Gestión de Tecnología de la Información y la Comunicación</v>
      </c>
      <c r="C83" s="64" t="s">
        <v>278</v>
      </c>
      <c r="D83" s="63" t="s">
        <v>147</v>
      </c>
      <c r="E83" s="64" t="s">
        <v>523</v>
      </c>
      <c r="F83" s="63" t="s">
        <v>286</v>
      </c>
      <c r="G83" s="65" t="s">
        <v>123</v>
      </c>
      <c r="H83" s="74">
        <v>1</v>
      </c>
      <c r="I83" s="64" t="s">
        <v>524</v>
      </c>
      <c r="J83" s="66" t="str">
        <f>+$F$82</f>
        <v>Desarrollo de nuevos Sistemas de información</v>
      </c>
      <c r="K83" s="67">
        <v>48960000</v>
      </c>
      <c r="L83" s="68">
        <v>1</v>
      </c>
      <c r="M83" s="69" t="s">
        <v>46</v>
      </c>
      <c r="N83" s="69" t="s">
        <v>73</v>
      </c>
      <c r="O83" s="69" t="s">
        <v>37</v>
      </c>
      <c r="P83" s="69" t="s">
        <v>40</v>
      </c>
      <c r="Q83" s="69" t="s">
        <v>228</v>
      </c>
      <c r="R83" s="70"/>
      <c r="S83" s="69" t="s">
        <v>379</v>
      </c>
      <c r="T83" s="69" t="s">
        <v>99</v>
      </c>
      <c r="U83" s="68">
        <v>1</v>
      </c>
      <c r="V83" s="63" t="str">
        <f>+$J$82</f>
        <v>Desarrollo de nuevos Sistemas de información</v>
      </c>
      <c r="W83" s="77">
        <v>48960000</v>
      </c>
      <c r="X83" s="62" t="s">
        <v>114</v>
      </c>
      <c r="Y83" s="68">
        <v>0.25</v>
      </c>
      <c r="Z83" s="63" t="str">
        <f>+$J$82</f>
        <v>Desarrollo de nuevos Sistemas de información</v>
      </c>
      <c r="AA83" s="77">
        <f>+VLOOKUP($I$82,'[2]Plan Adquisiciones'!$Z$5:$AD$47,5,FALSE)</f>
        <v>0</v>
      </c>
      <c r="AB83" s="70"/>
      <c r="AC83" s="70"/>
      <c r="AD83" s="68">
        <f t="shared" si="25"/>
        <v>0</v>
      </c>
      <c r="AE83" s="68" t="e">
        <f t="shared" si="26"/>
        <v>#DIV/0!</v>
      </c>
      <c r="AF83" s="68">
        <f t="shared" si="27"/>
        <v>0</v>
      </c>
      <c r="AG83" s="68">
        <f t="shared" si="28"/>
        <v>0</v>
      </c>
      <c r="AH83" s="68">
        <v>0.25</v>
      </c>
      <c r="AI83" s="63" t="str">
        <f>+$J$82</f>
        <v>Desarrollo de nuevos Sistemas de información</v>
      </c>
      <c r="AJ83" s="77">
        <v>12240000</v>
      </c>
      <c r="AK83" s="70"/>
      <c r="AL83" s="70"/>
      <c r="AM83" s="68">
        <f t="shared" si="29"/>
        <v>0</v>
      </c>
      <c r="AN83" s="68">
        <f t="shared" si="30"/>
        <v>0</v>
      </c>
      <c r="AO83" s="68">
        <f t="shared" si="31"/>
        <v>0</v>
      </c>
      <c r="AP83" s="71">
        <f t="shared" si="32"/>
        <v>0</v>
      </c>
      <c r="AQ83" s="68">
        <v>0.25</v>
      </c>
      <c r="AR83" s="63" t="str">
        <f>+$J$82</f>
        <v>Desarrollo de nuevos Sistemas de información</v>
      </c>
      <c r="AS83" s="77">
        <v>12240000</v>
      </c>
      <c r="AT83" s="70"/>
      <c r="AU83" s="70"/>
      <c r="AV83" s="68">
        <f t="shared" si="33"/>
        <v>0</v>
      </c>
      <c r="AW83" s="68">
        <f t="shared" si="34"/>
        <v>0</v>
      </c>
      <c r="AX83" s="68">
        <f t="shared" si="35"/>
        <v>0</v>
      </c>
      <c r="AY83" s="68">
        <f t="shared" si="36"/>
        <v>0</v>
      </c>
      <c r="AZ83" s="68">
        <v>0.25</v>
      </c>
      <c r="BA83" s="63" t="str">
        <f>+$J$82</f>
        <v>Desarrollo de nuevos Sistemas de información</v>
      </c>
      <c r="BB83" s="77">
        <v>12240000</v>
      </c>
      <c r="BC83" s="70"/>
      <c r="BD83" s="70"/>
      <c r="BE83" s="68">
        <f t="shared" si="37"/>
        <v>0</v>
      </c>
      <c r="BF83" s="68">
        <f t="shared" si="38"/>
        <v>0</v>
      </c>
      <c r="BG83" s="68">
        <f t="shared" si="39"/>
        <v>0</v>
      </c>
      <c r="BH83" s="68">
        <f t="shared" si="40"/>
        <v>0</v>
      </c>
      <c r="BI83" s="13">
        <f t="shared" si="41"/>
        <v>0</v>
      </c>
      <c r="BJ83" s="13" t="str">
        <f t="shared" si="42"/>
        <v>No Prog ni Ejec</v>
      </c>
      <c r="BK83" s="17">
        <f t="shared" si="43"/>
        <v>0</v>
      </c>
      <c r="BL83" s="13">
        <f t="shared" si="44"/>
        <v>0</v>
      </c>
      <c r="BM83" s="15">
        <f t="shared" si="45"/>
        <v>0</v>
      </c>
      <c r="BN83" s="13">
        <f t="shared" si="46"/>
        <v>0</v>
      </c>
      <c r="BO83" s="13">
        <f t="shared" si="47"/>
        <v>0</v>
      </c>
      <c r="BP83" s="13">
        <f t="shared" si="48"/>
        <v>0</v>
      </c>
      <c r="BQ83" s="1"/>
    </row>
    <row r="84" spans="1:69" ht="75" x14ac:dyDescent="0.25">
      <c r="A84" s="62">
        <v>11600</v>
      </c>
      <c r="B84" s="63" t="str">
        <f>+VLOOKUP(A84,'[2]TAB. REF. PA'!$A$5:$B$15,2,FALSE)</f>
        <v>Dirección de Gestión de Tecnología de la Información y la Comunicación</v>
      </c>
      <c r="C84" s="64" t="s">
        <v>278</v>
      </c>
      <c r="D84" s="63" t="s">
        <v>147</v>
      </c>
      <c r="E84" s="64" t="s">
        <v>525</v>
      </c>
      <c r="F84" s="63" t="s">
        <v>288</v>
      </c>
      <c r="G84" s="65" t="s">
        <v>123</v>
      </c>
      <c r="H84" s="74">
        <v>1</v>
      </c>
      <c r="I84" s="64" t="s">
        <v>526</v>
      </c>
      <c r="J84" s="66" t="s">
        <v>288</v>
      </c>
      <c r="K84" s="67">
        <v>146880000</v>
      </c>
      <c r="L84" s="68">
        <v>1</v>
      </c>
      <c r="M84" s="69" t="s">
        <v>46</v>
      </c>
      <c r="N84" s="69" t="s">
        <v>73</v>
      </c>
      <c r="O84" s="69" t="s">
        <v>37</v>
      </c>
      <c r="P84" s="69" t="s">
        <v>40</v>
      </c>
      <c r="Q84" s="69" t="s">
        <v>228</v>
      </c>
      <c r="R84" s="70"/>
      <c r="S84" s="69" t="s">
        <v>379</v>
      </c>
      <c r="T84" s="69" t="s">
        <v>99</v>
      </c>
      <c r="U84" s="68">
        <v>1</v>
      </c>
      <c r="V84" s="63" t="str">
        <f>+$J$83</f>
        <v>Desarrollo de nuevos Sistemas de información</v>
      </c>
      <c r="W84" s="77">
        <v>146880000</v>
      </c>
      <c r="X84" s="62" t="s">
        <v>114</v>
      </c>
      <c r="Y84" s="68">
        <v>0.25</v>
      </c>
      <c r="Z84" s="63" t="str">
        <f>+$V$83</f>
        <v>Desarrollo de nuevos Sistemas de información</v>
      </c>
      <c r="AA84" s="77">
        <f>+VLOOKUP($I$83,'[2]Plan Adquisiciones'!$Z$5:$AD$47,5,FALSE)</f>
        <v>12240000</v>
      </c>
      <c r="AB84" s="70"/>
      <c r="AC84" s="70"/>
      <c r="AD84" s="68">
        <f t="shared" si="25"/>
        <v>0</v>
      </c>
      <c r="AE84" s="68">
        <f t="shared" si="26"/>
        <v>0</v>
      </c>
      <c r="AF84" s="68">
        <f t="shared" si="27"/>
        <v>0</v>
      </c>
      <c r="AG84" s="68">
        <f t="shared" si="28"/>
        <v>0</v>
      </c>
      <c r="AH84" s="68">
        <v>0.25</v>
      </c>
      <c r="AI84" s="63" t="str">
        <f>+$V$83</f>
        <v>Desarrollo de nuevos Sistemas de información</v>
      </c>
      <c r="AJ84" s="77">
        <v>36720000</v>
      </c>
      <c r="AK84" s="70"/>
      <c r="AL84" s="70"/>
      <c r="AM84" s="68">
        <f t="shared" si="29"/>
        <v>0</v>
      </c>
      <c r="AN84" s="68">
        <f t="shared" si="30"/>
        <v>0</v>
      </c>
      <c r="AO84" s="68">
        <f t="shared" si="31"/>
        <v>0</v>
      </c>
      <c r="AP84" s="71">
        <f t="shared" si="32"/>
        <v>0</v>
      </c>
      <c r="AQ84" s="68">
        <v>0.25</v>
      </c>
      <c r="AR84" s="63" t="str">
        <f>+$V$83</f>
        <v>Desarrollo de nuevos Sistemas de información</v>
      </c>
      <c r="AS84" s="77">
        <v>36720000</v>
      </c>
      <c r="AT84" s="70"/>
      <c r="AU84" s="70"/>
      <c r="AV84" s="68">
        <f t="shared" si="33"/>
        <v>0</v>
      </c>
      <c r="AW84" s="68">
        <f t="shared" si="34"/>
        <v>0</v>
      </c>
      <c r="AX84" s="68">
        <f t="shared" si="35"/>
        <v>0</v>
      </c>
      <c r="AY84" s="68">
        <f t="shared" si="36"/>
        <v>0</v>
      </c>
      <c r="AZ84" s="68">
        <v>0.25</v>
      </c>
      <c r="BA84" s="63" t="str">
        <f>+$V$83</f>
        <v>Desarrollo de nuevos Sistemas de información</v>
      </c>
      <c r="BB84" s="77">
        <v>36720000</v>
      </c>
      <c r="BC84" s="70"/>
      <c r="BD84" s="70"/>
      <c r="BE84" s="68">
        <f t="shared" si="37"/>
        <v>0</v>
      </c>
      <c r="BF84" s="68">
        <f t="shared" si="38"/>
        <v>0</v>
      </c>
      <c r="BG84" s="68">
        <f t="shared" si="39"/>
        <v>0</v>
      </c>
      <c r="BH84" s="68">
        <f t="shared" si="40"/>
        <v>0</v>
      </c>
      <c r="BI84" s="13">
        <f t="shared" si="41"/>
        <v>0</v>
      </c>
      <c r="BJ84" s="13">
        <f t="shared" si="42"/>
        <v>0</v>
      </c>
      <c r="BK84" s="17">
        <f t="shared" si="43"/>
        <v>0</v>
      </c>
      <c r="BL84" s="13">
        <f t="shared" si="44"/>
        <v>0</v>
      </c>
      <c r="BM84" s="15">
        <f t="shared" si="45"/>
        <v>0</v>
      </c>
      <c r="BN84" s="13">
        <f t="shared" si="46"/>
        <v>0</v>
      </c>
      <c r="BO84" s="13">
        <f t="shared" si="47"/>
        <v>0</v>
      </c>
      <c r="BP84" s="13">
        <f t="shared" si="48"/>
        <v>0</v>
      </c>
      <c r="BQ84" s="1"/>
    </row>
    <row r="85" spans="1:69" ht="75" x14ac:dyDescent="0.25">
      <c r="A85" s="62">
        <v>11600</v>
      </c>
      <c r="B85" s="63" t="str">
        <f>+VLOOKUP(A85,'[2]TAB. REF. PA'!$A$5:$B$15,2,FALSE)</f>
        <v>Dirección de Gestión de Tecnología de la Información y la Comunicación</v>
      </c>
      <c r="C85" s="64" t="s">
        <v>278</v>
      </c>
      <c r="D85" s="63" t="s">
        <v>147</v>
      </c>
      <c r="E85" s="64" t="s">
        <v>527</v>
      </c>
      <c r="F85" s="63" t="s">
        <v>289</v>
      </c>
      <c r="G85" s="65" t="s">
        <v>123</v>
      </c>
      <c r="H85" s="74">
        <v>1</v>
      </c>
      <c r="I85" s="64" t="s">
        <v>528</v>
      </c>
      <c r="J85" s="66" t="s">
        <v>289</v>
      </c>
      <c r="K85" s="67">
        <v>576178068</v>
      </c>
      <c r="L85" s="68">
        <v>1</v>
      </c>
      <c r="M85" s="69" t="s">
        <v>46</v>
      </c>
      <c r="N85" s="69" t="s">
        <v>73</v>
      </c>
      <c r="O85" s="69" t="s">
        <v>37</v>
      </c>
      <c r="P85" s="69" t="s">
        <v>40</v>
      </c>
      <c r="Q85" s="69" t="s">
        <v>228</v>
      </c>
      <c r="R85" s="70"/>
      <c r="S85" s="69" t="s">
        <v>379</v>
      </c>
      <c r="T85" s="69" t="s">
        <v>99</v>
      </c>
      <c r="U85" s="68">
        <v>1</v>
      </c>
      <c r="V85" s="63" t="str">
        <f>+$J$84</f>
        <v>Brindar Soporte al procesos BDUA</v>
      </c>
      <c r="W85" s="77">
        <v>576178068</v>
      </c>
      <c r="X85" s="62" t="s">
        <v>114</v>
      </c>
      <c r="Y85" s="68">
        <v>0.25</v>
      </c>
      <c r="Z85" s="63" t="str">
        <f>+$J$84</f>
        <v>Brindar Soporte al procesos BDUA</v>
      </c>
      <c r="AA85" s="77">
        <f>+W85*Y85</f>
        <v>144044517</v>
      </c>
      <c r="AB85" s="70"/>
      <c r="AC85" s="70"/>
      <c r="AD85" s="68">
        <f t="shared" si="25"/>
        <v>0</v>
      </c>
      <c r="AE85" s="68">
        <f t="shared" si="26"/>
        <v>0</v>
      </c>
      <c r="AF85" s="68">
        <f t="shared" si="27"/>
        <v>0</v>
      </c>
      <c r="AG85" s="68">
        <f t="shared" si="28"/>
        <v>0</v>
      </c>
      <c r="AH85" s="68">
        <v>0.25</v>
      </c>
      <c r="AI85" s="63" t="str">
        <f>+$J$84</f>
        <v>Brindar Soporte al procesos BDUA</v>
      </c>
      <c r="AJ85" s="77">
        <v>144044517</v>
      </c>
      <c r="AK85" s="70"/>
      <c r="AL85" s="70"/>
      <c r="AM85" s="68">
        <f t="shared" si="29"/>
        <v>0</v>
      </c>
      <c r="AN85" s="68">
        <f t="shared" si="30"/>
        <v>0</v>
      </c>
      <c r="AO85" s="68">
        <f t="shared" si="31"/>
        <v>0</v>
      </c>
      <c r="AP85" s="71">
        <f t="shared" si="32"/>
        <v>0</v>
      </c>
      <c r="AQ85" s="68">
        <v>0.25</v>
      </c>
      <c r="AR85" s="63" t="str">
        <f>+$J$84</f>
        <v>Brindar Soporte al procesos BDUA</v>
      </c>
      <c r="AS85" s="77">
        <v>144044517</v>
      </c>
      <c r="AT85" s="70"/>
      <c r="AU85" s="70"/>
      <c r="AV85" s="68">
        <f t="shared" si="33"/>
        <v>0</v>
      </c>
      <c r="AW85" s="68">
        <f t="shared" si="34"/>
        <v>0</v>
      </c>
      <c r="AX85" s="68">
        <f t="shared" si="35"/>
        <v>0</v>
      </c>
      <c r="AY85" s="68">
        <f t="shared" si="36"/>
        <v>0</v>
      </c>
      <c r="AZ85" s="68">
        <v>0.25</v>
      </c>
      <c r="BA85" s="63" t="str">
        <f>+$J$84</f>
        <v>Brindar Soporte al procesos BDUA</v>
      </c>
      <c r="BB85" s="77">
        <v>144044517</v>
      </c>
      <c r="BC85" s="70"/>
      <c r="BD85" s="70"/>
      <c r="BE85" s="68">
        <f t="shared" si="37"/>
        <v>0</v>
      </c>
      <c r="BF85" s="68">
        <f t="shared" si="38"/>
        <v>0</v>
      </c>
      <c r="BG85" s="68">
        <f t="shared" si="39"/>
        <v>0</v>
      </c>
      <c r="BH85" s="68">
        <f t="shared" si="40"/>
        <v>0</v>
      </c>
      <c r="BI85" s="13">
        <f t="shared" si="41"/>
        <v>0</v>
      </c>
      <c r="BJ85" s="13">
        <f t="shared" si="42"/>
        <v>0</v>
      </c>
      <c r="BK85" s="17">
        <f t="shared" si="43"/>
        <v>0</v>
      </c>
      <c r="BL85" s="13">
        <f t="shared" si="44"/>
        <v>0</v>
      </c>
      <c r="BM85" s="15">
        <f t="shared" si="45"/>
        <v>0</v>
      </c>
      <c r="BN85" s="13">
        <f t="shared" si="46"/>
        <v>0</v>
      </c>
      <c r="BO85" s="13">
        <f t="shared" si="47"/>
        <v>0</v>
      </c>
      <c r="BP85" s="13">
        <f t="shared" si="48"/>
        <v>0</v>
      </c>
      <c r="BQ85" s="1"/>
    </row>
    <row r="86" spans="1:69" ht="75" x14ac:dyDescent="0.25">
      <c r="A86" s="62">
        <v>11600</v>
      </c>
      <c r="B86" s="63" t="str">
        <f>+VLOOKUP(A86,'[2]TAB. REF. PA'!$A$5:$B$15,2,FALSE)</f>
        <v>Dirección de Gestión de Tecnología de la Información y la Comunicación</v>
      </c>
      <c r="C86" s="64" t="s">
        <v>278</v>
      </c>
      <c r="D86" s="63" t="s">
        <v>147</v>
      </c>
      <c r="E86" s="64" t="s">
        <v>639</v>
      </c>
      <c r="F86" s="63" t="s">
        <v>640</v>
      </c>
      <c r="G86" s="65" t="s">
        <v>123</v>
      </c>
      <c r="H86" s="74">
        <v>1</v>
      </c>
      <c r="I86" s="64" t="s">
        <v>641</v>
      </c>
      <c r="J86" s="66" t="s">
        <v>642</v>
      </c>
      <c r="K86" s="67">
        <v>737488220</v>
      </c>
      <c r="L86" s="68">
        <v>1</v>
      </c>
      <c r="M86" s="69" t="s">
        <v>46</v>
      </c>
      <c r="N86" s="69" t="s">
        <v>73</v>
      </c>
      <c r="O86" s="69" t="s">
        <v>37</v>
      </c>
      <c r="P86" s="69" t="s">
        <v>40</v>
      </c>
      <c r="Q86" s="69" t="s">
        <v>228</v>
      </c>
      <c r="R86" s="70"/>
      <c r="S86" s="69" t="s">
        <v>634</v>
      </c>
      <c r="T86" s="69" t="s">
        <v>99</v>
      </c>
      <c r="U86" s="68">
        <v>1</v>
      </c>
      <c r="V86" s="63" t="str">
        <f>+$J$85</f>
        <v>Brindar Soporte a los sistemas de información que respaldan los procesos misionales de ADRES</v>
      </c>
      <c r="W86" s="77">
        <v>737488220</v>
      </c>
      <c r="X86" s="62" t="s">
        <v>114</v>
      </c>
      <c r="Y86" s="68">
        <v>0.25</v>
      </c>
      <c r="Z86" s="63" t="str">
        <f>+$J$84</f>
        <v>Brindar Soporte al procesos BDUA</v>
      </c>
      <c r="AA86" s="77">
        <f>W86*Y86</f>
        <v>184372055</v>
      </c>
      <c r="AB86" s="70"/>
      <c r="AC86" s="70"/>
      <c r="AD86" s="68">
        <f t="shared" si="25"/>
        <v>0</v>
      </c>
      <c r="AE86" s="68">
        <f t="shared" si="26"/>
        <v>0</v>
      </c>
      <c r="AF86" s="68">
        <f t="shared" si="27"/>
        <v>0</v>
      </c>
      <c r="AG86" s="68">
        <f t="shared" si="28"/>
        <v>0</v>
      </c>
      <c r="AH86" s="68">
        <v>0.25</v>
      </c>
      <c r="AI86" s="63" t="str">
        <f>+$J$84</f>
        <v>Brindar Soporte al procesos BDUA</v>
      </c>
      <c r="AJ86" s="77">
        <v>184372055</v>
      </c>
      <c r="AK86" s="70"/>
      <c r="AL86" s="70"/>
      <c r="AM86" s="68">
        <f t="shared" si="29"/>
        <v>0</v>
      </c>
      <c r="AN86" s="68">
        <f t="shared" si="30"/>
        <v>0</v>
      </c>
      <c r="AO86" s="68">
        <f t="shared" si="31"/>
        <v>0</v>
      </c>
      <c r="AP86" s="71">
        <f t="shared" si="32"/>
        <v>0</v>
      </c>
      <c r="AQ86" s="68">
        <v>0.25</v>
      </c>
      <c r="AR86" s="63" t="str">
        <f>+$J$84</f>
        <v>Brindar Soporte al procesos BDUA</v>
      </c>
      <c r="AS86" s="77">
        <v>184372055</v>
      </c>
      <c r="AT86" s="70"/>
      <c r="AU86" s="70"/>
      <c r="AV86" s="68">
        <f t="shared" si="33"/>
        <v>0</v>
      </c>
      <c r="AW86" s="68">
        <f t="shared" si="34"/>
        <v>0</v>
      </c>
      <c r="AX86" s="68">
        <f t="shared" si="35"/>
        <v>0</v>
      </c>
      <c r="AY86" s="68">
        <f t="shared" si="36"/>
        <v>0</v>
      </c>
      <c r="AZ86" s="68">
        <v>0.25</v>
      </c>
      <c r="BA86" s="63" t="str">
        <f>+$J$84</f>
        <v>Brindar Soporte al procesos BDUA</v>
      </c>
      <c r="BB86" s="77">
        <v>184372055</v>
      </c>
      <c r="BC86" s="70"/>
      <c r="BD86" s="70"/>
      <c r="BE86" s="68">
        <f t="shared" si="37"/>
        <v>0</v>
      </c>
      <c r="BF86" s="68">
        <f t="shared" si="38"/>
        <v>0</v>
      </c>
      <c r="BG86" s="68">
        <f t="shared" si="39"/>
        <v>0</v>
      </c>
      <c r="BH86" s="68">
        <f t="shared" si="40"/>
        <v>0</v>
      </c>
      <c r="BI86" s="13"/>
      <c r="BJ86" s="13"/>
      <c r="BK86" s="17"/>
      <c r="BL86" s="13"/>
      <c r="BM86" s="15"/>
      <c r="BN86" s="13"/>
      <c r="BO86" s="13"/>
      <c r="BP86" s="13"/>
      <c r="BQ86" s="1"/>
    </row>
    <row r="87" spans="1:69" s="45" customFormat="1" ht="105" x14ac:dyDescent="0.25">
      <c r="A87" s="34">
        <v>11700</v>
      </c>
      <c r="B87" s="35" t="str">
        <f>+VLOOKUP(A87,'[1]TAB. REF. PA'!$A$4:$B$14,2,FALSE)</f>
        <v>Dirección Administrativa y Financiera</v>
      </c>
      <c r="C87" s="36" t="s">
        <v>328</v>
      </c>
      <c r="D87" s="35" t="s">
        <v>256</v>
      </c>
      <c r="E87" s="36" t="s">
        <v>329</v>
      </c>
      <c r="F87" s="35" t="s">
        <v>159</v>
      </c>
      <c r="G87" s="37" t="s">
        <v>123</v>
      </c>
      <c r="H87" s="46">
        <v>1</v>
      </c>
      <c r="I87" s="36" t="s">
        <v>331</v>
      </c>
      <c r="J87" s="38" t="s">
        <v>156</v>
      </c>
      <c r="K87" s="39">
        <v>0</v>
      </c>
      <c r="L87" s="40">
        <v>1</v>
      </c>
      <c r="M87" s="41" t="s">
        <v>51</v>
      </c>
      <c r="N87" s="41" t="s">
        <v>68</v>
      </c>
      <c r="O87" s="41" t="s">
        <v>21</v>
      </c>
      <c r="P87" s="41" t="s">
        <v>36</v>
      </c>
      <c r="Q87" s="41" t="s">
        <v>75</v>
      </c>
      <c r="R87" s="42"/>
      <c r="S87" s="41" t="s">
        <v>672</v>
      </c>
      <c r="T87" s="41" t="s">
        <v>98</v>
      </c>
      <c r="U87" s="40">
        <v>1</v>
      </c>
      <c r="V87" s="35" t="str">
        <f>+$J$87</f>
        <v>Formular los proceso y procedimientos en el marco del MIPG</v>
      </c>
      <c r="W87" s="39">
        <v>0</v>
      </c>
      <c r="X87" s="34" t="s">
        <v>117</v>
      </c>
      <c r="Y87" s="40">
        <v>0.25</v>
      </c>
      <c r="Z87" s="35" t="str">
        <f>+$J$87</f>
        <v>Formular los proceso y procedimientos en el marco del MIPG</v>
      </c>
      <c r="AA87" s="39">
        <v>0</v>
      </c>
      <c r="AB87" s="42"/>
      <c r="AC87" s="42"/>
      <c r="AD87" s="40">
        <f t="shared" si="25"/>
        <v>0</v>
      </c>
      <c r="AE87" s="40" t="e">
        <f t="shared" si="26"/>
        <v>#DIV/0!</v>
      </c>
      <c r="AF87" s="40">
        <f t="shared" si="27"/>
        <v>0</v>
      </c>
      <c r="AG87" s="40" t="e">
        <f t="shared" si="28"/>
        <v>#DIV/0!</v>
      </c>
      <c r="AH87" s="40">
        <v>0.25</v>
      </c>
      <c r="AI87" s="35" t="str">
        <f>+$J$87</f>
        <v>Formular los proceso y procedimientos en el marco del MIPG</v>
      </c>
      <c r="AJ87" s="39">
        <v>0</v>
      </c>
      <c r="AK87" s="42"/>
      <c r="AL87" s="42"/>
      <c r="AM87" s="40">
        <f t="shared" si="29"/>
        <v>0</v>
      </c>
      <c r="AN87" s="40" t="e">
        <f t="shared" si="30"/>
        <v>#DIV/0!</v>
      </c>
      <c r="AO87" s="40">
        <f t="shared" si="31"/>
        <v>0</v>
      </c>
      <c r="AP87" s="43" t="e">
        <f t="shared" si="32"/>
        <v>#DIV/0!</v>
      </c>
      <c r="AQ87" s="40">
        <v>0.25</v>
      </c>
      <c r="AR87" s="35" t="str">
        <f>+$J$87</f>
        <v>Formular los proceso y procedimientos en el marco del MIPG</v>
      </c>
      <c r="AS87" s="39">
        <v>0</v>
      </c>
      <c r="AT87" s="42"/>
      <c r="AU87" s="42"/>
      <c r="AV87" s="40">
        <f t="shared" si="33"/>
        <v>0</v>
      </c>
      <c r="AW87" s="40" t="e">
        <f t="shared" si="34"/>
        <v>#DIV/0!</v>
      </c>
      <c r="AX87" s="40">
        <f t="shared" si="35"/>
        <v>0</v>
      </c>
      <c r="AY87" s="40" t="e">
        <f t="shared" si="36"/>
        <v>#DIV/0!</v>
      </c>
      <c r="AZ87" s="40">
        <v>0.25</v>
      </c>
      <c r="BA87" s="35" t="str">
        <f>+$J$87</f>
        <v>Formular los proceso y procedimientos en el marco del MIPG</v>
      </c>
      <c r="BB87" s="39">
        <v>0</v>
      </c>
      <c r="BC87" s="42"/>
      <c r="BD87" s="42"/>
      <c r="BE87" s="40">
        <f t="shared" si="37"/>
        <v>0</v>
      </c>
      <c r="BF87" s="40" t="e">
        <f t="shared" si="38"/>
        <v>#DIV/0!</v>
      </c>
      <c r="BG87" s="40">
        <f t="shared" si="39"/>
        <v>0</v>
      </c>
      <c r="BH87" s="40" t="e">
        <f t="shared" si="40"/>
        <v>#DIV/0!</v>
      </c>
      <c r="BI87" s="44">
        <f t="shared" si="41"/>
        <v>0</v>
      </c>
      <c r="BJ87" s="44" t="str">
        <f t="shared" si="42"/>
        <v>No Prog ni Ejec</v>
      </c>
      <c r="BK87" s="44">
        <f t="shared" si="43"/>
        <v>0</v>
      </c>
      <c r="BL87" s="44" t="str">
        <f t="shared" si="44"/>
        <v>No Prog ni Ejec</v>
      </c>
      <c r="BM87" s="44">
        <f t="shared" si="45"/>
        <v>0</v>
      </c>
      <c r="BN87" s="44" t="str">
        <f t="shared" si="46"/>
        <v>No Prog ni Ejec</v>
      </c>
      <c r="BO87" s="44">
        <f t="shared" si="47"/>
        <v>0</v>
      </c>
      <c r="BP87" s="44" t="str">
        <f t="shared" si="48"/>
        <v>No Prog ni Ejec</v>
      </c>
      <c r="BQ87" s="42"/>
    </row>
    <row r="88" spans="1:69" s="45" customFormat="1" ht="105" x14ac:dyDescent="0.25">
      <c r="A88" s="34">
        <v>11700</v>
      </c>
      <c r="B88" s="35" t="str">
        <f>+VLOOKUP(A88,'[1]TAB. REF. PA'!$A$4:$B$14,2,FALSE)</f>
        <v>Dirección Administrativa y Financiera</v>
      </c>
      <c r="C88" s="36" t="s">
        <v>328</v>
      </c>
      <c r="D88" s="35" t="s">
        <v>256</v>
      </c>
      <c r="E88" s="36" t="s">
        <v>330</v>
      </c>
      <c r="F88" s="35" t="s">
        <v>127</v>
      </c>
      <c r="G88" s="37" t="s">
        <v>123</v>
      </c>
      <c r="H88" s="47">
        <v>1</v>
      </c>
      <c r="I88" s="36" t="s">
        <v>332</v>
      </c>
      <c r="J88" s="38" t="s">
        <v>128</v>
      </c>
      <c r="K88" s="39">
        <v>0</v>
      </c>
      <c r="L88" s="40">
        <v>1</v>
      </c>
      <c r="M88" s="41" t="s">
        <v>51</v>
      </c>
      <c r="N88" s="41" t="s">
        <v>68</v>
      </c>
      <c r="O88" s="41" t="s">
        <v>21</v>
      </c>
      <c r="P88" s="41" t="s">
        <v>36</v>
      </c>
      <c r="Q88" s="41" t="s">
        <v>75</v>
      </c>
      <c r="R88" s="42"/>
      <c r="S88" s="41" t="s">
        <v>570</v>
      </c>
      <c r="T88" s="41" t="s">
        <v>98</v>
      </c>
      <c r="U88" s="47">
        <v>1</v>
      </c>
      <c r="V88" s="35" t="str">
        <f>+$J$88</f>
        <v>Remitir informes trimestrales de los indicadores formulados y las acciones de mejoras</v>
      </c>
      <c r="W88" s="39">
        <v>0</v>
      </c>
      <c r="X88" s="34" t="s">
        <v>117</v>
      </c>
      <c r="Y88" s="39">
        <v>0</v>
      </c>
      <c r="Z88" s="35" t="str">
        <f>+$J$88</f>
        <v>Remitir informes trimestrales de los indicadores formulados y las acciones de mejoras</v>
      </c>
      <c r="AA88" s="39">
        <v>0</v>
      </c>
      <c r="AB88" s="42"/>
      <c r="AC88" s="42"/>
      <c r="AD88" s="40" t="e">
        <f t="shared" si="25"/>
        <v>#DIV/0!</v>
      </c>
      <c r="AE88" s="40" t="e">
        <f t="shared" si="26"/>
        <v>#DIV/0!</v>
      </c>
      <c r="AF88" s="40">
        <f t="shared" si="27"/>
        <v>0</v>
      </c>
      <c r="AG88" s="40" t="e">
        <f t="shared" si="28"/>
        <v>#DIV/0!</v>
      </c>
      <c r="AH88" s="39">
        <v>0</v>
      </c>
      <c r="AI88" s="35" t="str">
        <f>+$J$88</f>
        <v>Remitir informes trimestrales de los indicadores formulados y las acciones de mejoras</v>
      </c>
      <c r="AJ88" s="39">
        <v>0</v>
      </c>
      <c r="AK88" s="42"/>
      <c r="AL88" s="42"/>
      <c r="AM88" s="40" t="e">
        <f t="shared" si="29"/>
        <v>#DIV/0!</v>
      </c>
      <c r="AN88" s="40" t="e">
        <f t="shared" si="30"/>
        <v>#DIV/0!</v>
      </c>
      <c r="AO88" s="40">
        <f t="shared" si="31"/>
        <v>0</v>
      </c>
      <c r="AP88" s="43" t="e">
        <f t="shared" si="32"/>
        <v>#DIV/0!</v>
      </c>
      <c r="AQ88" s="39">
        <v>0</v>
      </c>
      <c r="AR88" s="35" t="str">
        <f>+$J$88</f>
        <v>Remitir informes trimestrales de los indicadores formulados y las acciones de mejoras</v>
      </c>
      <c r="AS88" s="39">
        <v>0</v>
      </c>
      <c r="AT88" s="42"/>
      <c r="AU88" s="42"/>
      <c r="AV88" s="40" t="e">
        <f t="shared" si="33"/>
        <v>#DIV/0!</v>
      </c>
      <c r="AW88" s="40" t="e">
        <f t="shared" si="34"/>
        <v>#DIV/0!</v>
      </c>
      <c r="AX88" s="40">
        <f t="shared" si="35"/>
        <v>0</v>
      </c>
      <c r="AY88" s="40" t="e">
        <f t="shared" si="36"/>
        <v>#DIV/0!</v>
      </c>
      <c r="AZ88" s="47">
        <v>1</v>
      </c>
      <c r="BA88" s="35" t="str">
        <f>+$J$88</f>
        <v>Remitir informes trimestrales de los indicadores formulados y las acciones de mejoras</v>
      </c>
      <c r="BB88" s="39">
        <v>0</v>
      </c>
      <c r="BC88" s="42"/>
      <c r="BD88" s="42"/>
      <c r="BE88" s="40">
        <f t="shared" si="37"/>
        <v>0</v>
      </c>
      <c r="BF88" s="40" t="e">
        <f t="shared" si="38"/>
        <v>#DIV/0!</v>
      </c>
      <c r="BG88" s="40">
        <f t="shared" si="39"/>
        <v>0</v>
      </c>
      <c r="BH88" s="40" t="e">
        <f t="shared" si="40"/>
        <v>#DIV/0!</v>
      </c>
      <c r="BI88" s="44" t="str">
        <f t="shared" si="41"/>
        <v>No Prog ni Ejec</v>
      </c>
      <c r="BJ88" s="44" t="str">
        <f t="shared" si="42"/>
        <v>No Prog ni Ejec</v>
      </c>
      <c r="BK88" s="44" t="str">
        <f t="shared" si="43"/>
        <v>No Prog ni Ejec</v>
      </c>
      <c r="BL88" s="44" t="str">
        <f t="shared" si="44"/>
        <v>No Prog ni Ejec</v>
      </c>
      <c r="BM88" s="44" t="str">
        <f t="shared" si="45"/>
        <v>No Prog ni Ejec</v>
      </c>
      <c r="BN88" s="44" t="str">
        <f t="shared" si="46"/>
        <v>No Prog ni Ejec</v>
      </c>
      <c r="BO88" s="44">
        <f t="shared" si="47"/>
        <v>0</v>
      </c>
      <c r="BP88" s="44" t="str">
        <f t="shared" si="48"/>
        <v>No Prog ni Ejec</v>
      </c>
      <c r="BQ88" s="42"/>
    </row>
    <row r="89" spans="1:69" s="45" customFormat="1" ht="105" x14ac:dyDescent="0.25">
      <c r="A89" s="34">
        <v>11700</v>
      </c>
      <c r="B89" s="35" t="str">
        <f>+VLOOKUP(A89,'[1]TAB. REF. PA'!$A$4:$B$14,2,FALSE)</f>
        <v>Dirección Administrativa y Financiera</v>
      </c>
      <c r="C89" s="36" t="s">
        <v>328</v>
      </c>
      <c r="D89" s="35" t="s">
        <v>256</v>
      </c>
      <c r="E89" s="36" t="s">
        <v>376</v>
      </c>
      <c r="F89" s="35" t="s">
        <v>380</v>
      </c>
      <c r="G89" s="37" t="s">
        <v>123</v>
      </c>
      <c r="H89" s="46">
        <v>1</v>
      </c>
      <c r="I89" s="36" t="s">
        <v>377</v>
      </c>
      <c r="J89" s="35" t="s">
        <v>378</v>
      </c>
      <c r="K89" s="39">
        <v>27749428000</v>
      </c>
      <c r="L89" s="47">
        <v>0.27585130137348052</v>
      </c>
      <c r="M89" s="41" t="s">
        <v>46</v>
      </c>
      <c r="N89" s="41" t="s">
        <v>68</v>
      </c>
      <c r="O89" s="41" t="s">
        <v>37</v>
      </c>
      <c r="P89" s="41" t="s">
        <v>38</v>
      </c>
      <c r="Q89" s="41" t="s">
        <v>219</v>
      </c>
      <c r="R89" s="42"/>
      <c r="S89" s="41" t="s">
        <v>182</v>
      </c>
      <c r="T89" s="41" t="s">
        <v>99</v>
      </c>
      <c r="U89" s="40">
        <v>1</v>
      </c>
      <c r="V89" s="35" t="str">
        <f>+$J$89</f>
        <v>Efectuar los tramites asociados al pago de nomina de los funcionarios de la ADRES</v>
      </c>
      <c r="W89" s="61">
        <f t="shared" ref="W89" si="49">+K89</f>
        <v>27749428000</v>
      </c>
      <c r="X89" s="34" t="s">
        <v>114</v>
      </c>
      <c r="Y89" s="40">
        <v>0.25</v>
      </c>
      <c r="Z89" s="35" t="str">
        <f>+$J$89</f>
        <v>Efectuar los tramites asociados al pago de nomina de los funcionarios de la ADRES</v>
      </c>
      <c r="AA89" s="39">
        <v>6937357000</v>
      </c>
      <c r="AB89" s="42"/>
      <c r="AC89" s="42"/>
      <c r="AD89" s="40">
        <f>+(AB89/Y89)</f>
        <v>0</v>
      </c>
      <c r="AE89" s="40">
        <f>+(AC89/AA89)</f>
        <v>0</v>
      </c>
      <c r="AF89" s="40">
        <f>+(AB89/U89)</f>
        <v>0</v>
      </c>
      <c r="AG89" s="40">
        <f>+(AC89/W89)</f>
        <v>0</v>
      </c>
      <c r="AH89" s="40">
        <v>0.25</v>
      </c>
      <c r="AI89" s="35" t="str">
        <f>+$J$89</f>
        <v>Efectuar los tramites asociados al pago de nomina de los funcionarios de la ADRES</v>
      </c>
      <c r="AJ89" s="39">
        <v>6937357000</v>
      </c>
      <c r="AK89" s="42"/>
      <c r="AL89" s="42"/>
      <c r="AM89" s="40">
        <f>+(AK89/AH89)</f>
        <v>0</v>
      </c>
      <c r="AN89" s="40">
        <f>+(AL89/AJ89)</f>
        <v>0</v>
      </c>
      <c r="AO89" s="40">
        <f>+(AK89+AB89)/U89</f>
        <v>0</v>
      </c>
      <c r="AP89" s="43">
        <f>+(AL89+AC89)/W89</f>
        <v>0</v>
      </c>
      <c r="AQ89" s="40">
        <v>0.25</v>
      </c>
      <c r="AR89" s="35" t="str">
        <f>+$J$89</f>
        <v>Efectuar los tramites asociados al pago de nomina de los funcionarios de la ADRES</v>
      </c>
      <c r="AS89" s="39">
        <v>6937357000</v>
      </c>
      <c r="AT89" s="42"/>
      <c r="AU89" s="42"/>
      <c r="AV89" s="40">
        <f>+(AT89/AQ89)</f>
        <v>0</v>
      </c>
      <c r="AW89" s="40">
        <f>+(AU89/AS89)</f>
        <v>0</v>
      </c>
      <c r="AX89" s="40">
        <f>+(AK89+AB89+AT89)/U89</f>
        <v>0</v>
      </c>
      <c r="AY89" s="40">
        <f>+(AL89+AC89+AU89)/W89</f>
        <v>0</v>
      </c>
      <c r="AZ89" s="40">
        <v>0.25</v>
      </c>
      <c r="BA89" s="35" t="str">
        <f>+$J$89</f>
        <v>Efectuar los tramites asociados al pago de nomina de los funcionarios de la ADRES</v>
      </c>
      <c r="BB89" s="39">
        <v>6937357000</v>
      </c>
      <c r="BC89" s="42"/>
      <c r="BD89" s="42"/>
      <c r="BE89" s="40">
        <f>+(BC89/AZ89)</f>
        <v>0</v>
      </c>
      <c r="BF89" s="40">
        <f>+(BD89/BB89)</f>
        <v>0</v>
      </c>
      <c r="BG89" s="40">
        <f>+(AK89+AB89+AT89+BC89)/U89</f>
        <v>0</v>
      </c>
      <c r="BH89" s="40">
        <f>+(AL89+AC89+AU89+BD89)/W89</f>
        <v>0</v>
      </c>
      <c r="BI89" s="44">
        <f>IF(AND(Y89=0,AB89=0),"No Prog ni Ejec",IF(Y89=0,CONCATENATE("No Prog, Ejec=  ",AB89),AB89/Y89))</f>
        <v>0</v>
      </c>
      <c r="BJ89" s="44">
        <f>IF(AND(AA89=0,AC89=0),"No Prog ni Ejec",IF(AA89=0,CONCATENATE("No Prog, Ejec=  ",AC89),AC89/AA89))</f>
        <v>0</v>
      </c>
      <c r="BK89" s="44">
        <f>IF(AND(AH89=0,AK89=0),"No Prog ni Ejec",IF(AH89=0,CONCATENATE("No Prog, Ejec=  ",AK89),AK89/AH89))</f>
        <v>0</v>
      </c>
      <c r="BL89" s="44">
        <f>IF(AND(AJ89=0,AL89=0),"No Prog ni Ejec",IF(AJ89=0,CONCATENATE("No Prog, Ejec=  ",AL89),AL89/AJ89))</f>
        <v>0</v>
      </c>
      <c r="BM89" s="44">
        <f>IF(AND(AQ89=0,AT89=0),"No Prog ni Ejec",IF(AQ89=0,CONCATENATE("No Prog, Ejec=  ",AT89),AT89/AQ89))</f>
        <v>0</v>
      </c>
      <c r="BN89" s="44">
        <f>IF(AND(AS89=0,AU89=0),"No Prog ni Ejec",IF(AS89=0,CONCATENATE("No Prog, Ejec=  ",AU89),AU89/AS89))</f>
        <v>0</v>
      </c>
      <c r="BO89" s="44">
        <f>IF(AND(AZ89=0,BC89=0),"No Prog ni Ejec",IF(AZ89=0,CONCATENATE("No Prog, Ejec=  ",BC89),BC89/AZ89))</f>
        <v>0</v>
      </c>
      <c r="BP89" s="44">
        <f>IF(AND(BB89=0,BD89=0),"No Prog ni Ejec",IF(BB89=0,CONCATENATE("No Prog, Ejec=  ",BD89),BD89/BB89))</f>
        <v>0</v>
      </c>
      <c r="BQ89" s="42"/>
    </row>
    <row r="90" spans="1:69" s="45" customFormat="1" ht="105" x14ac:dyDescent="0.25">
      <c r="A90" s="34">
        <v>11700</v>
      </c>
      <c r="B90" s="35" t="str">
        <f>+VLOOKUP(A90,'[1]TAB. REF. PA'!$A$4:$B$14,2,FALSE)</f>
        <v>Dirección Administrativa y Financiera</v>
      </c>
      <c r="C90" s="36" t="s">
        <v>328</v>
      </c>
      <c r="D90" s="35" t="s">
        <v>256</v>
      </c>
      <c r="E90" s="36" t="s">
        <v>383</v>
      </c>
      <c r="F90" s="35" t="s">
        <v>382</v>
      </c>
      <c r="G90" s="37" t="s">
        <v>384</v>
      </c>
      <c r="H90" s="34">
        <v>12</v>
      </c>
      <c r="I90" s="36" t="s">
        <v>388</v>
      </c>
      <c r="J90" s="35" t="s">
        <v>381</v>
      </c>
      <c r="K90" s="39">
        <v>0</v>
      </c>
      <c r="L90" s="47" t="e">
        <f>+(K90)/SUM(K$90:$K90)</f>
        <v>#DIV/0!</v>
      </c>
      <c r="M90" s="41" t="s">
        <v>46</v>
      </c>
      <c r="N90" s="41" t="s">
        <v>68</v>
      </c>
      <c r="O90" s="41" t="s">
        <v>37</v>
      </c>
      <c r="P90" s="41" t="s">
        <v>38</v>
      </c>
      <c r="Q90" s="41" t="s">
        <v>219</v>
      </c>
      <c r="R90" s="42"/>
      <c r="S90" s="41" t="s">
        <v>626</v>
      </c>
      <c r="T90" s="41" t="s">
        <v>99</v>
      </c>
      <c r="U90" s="34">
        <v>12</v>
      </c>
      <c r="V90" s="35" t="str">
        <f>+$J$90</f>
        <v>Seguimiento a la ejecución presupuestal, PAC y Reservas</v>
      </c>
      <c r="W90" s="61">
        <v>0</v>
      </c>
      <c r="X90" s="34" t="s">
        <v>117</v>
      </c>
      <c r="Y90" s="34">
        <v>3</v>
      </c>
      <c r="Z90" s="35" t="str">
        <f>+$J$90</f>
        <v>Seguimiento a la ejecución presupuestal, PAC y Reservas</v>
      </c>
      <c r="AA90" s="39">
        <v>0</v>
      </c>
      <c r="AB90" s="42"/>
      <c r="AC90" s="42"/>
      <c r="AD90" s="40">
        <f t="shared" ref="AD90:AD104" si="50">+(AB90/Y90)</f>
        <v>0</v>
      </c>
      <c r="AE90" s="40" t="e">
        <f t="shared" ref="AE90:AE104" si="51">+(AC90/AA90)</f>
        <v>#DIV/0!</v>
      </c>
      <c r="AF90" s="40">
        <f t="shared" ref="AF90:AF104" si="52">+(AB90/U90)</f>
        <v>0</v>
      </c>
      <c r="AG90" s="40" t="e">
        <f t="shared" ref="AG90:AG104" si="53">+(AC90/W90)</f>
        <v>#DIV/0!</v>
      </c>
      <c r="AH90" s="39">
        <v>3</v>
      </c>
      <c r="AI90" s="35" t="str">
        <f>+$J$90</f>
        <v>Seguimiento a la ejecución presupuestal, PAC y Reservas</v>
      </c>
      <c r="AJ90" s="39">
        <v>0</v>
      </c>
      <c r="AK90" s="42"/>
      <c r="AL90" s="42"/>
      <c r="AM90" s="40">
        <f t="shared" ref="AM90:AM104" si="54">+(AK90/AH90)</f>
        <v>0</v>
      </c>
      <c r="AN90" s="40" t="e">
        <f t="shared" ref="AN90:AN104" si="55">+(AL90/AJ90)</f>
        <v>#DIV/0!</v>
      </c>
      <c r="AO90" s="40">
        <f t="shared" ref="AO90:AO104" si="56">+(AK90+AB90)/U90</f>
        <v>0</v>
      </c>
      <c r="AP90" s="43" t="e">
        <f t="shared" ref="AP90:AP104" si="57">+(AL90+AC90)/W90</f>
        <v>#DIV/0!</v>
      </c>
      <c r="AQ90" s="39">
        <v>3</v>
      </c>
      <c r="AR90" s="35" t="str">
        <f>+$J$90</f>
        <v>Seguimiento a la ejecución presupuestal, PAC y Reservas</v>
      </c>
      <c r="AS90" s="39">
        <v>0</v>
      </c>
      <c r="AT90" s="42"/>
      <c r="AU90" s="42"/>
      <c r="AV90" s="40">
        <f t="shared" ref="AV90:AV104" si="58">+(AT90/AQ90)</f>
        <v>0</v>
      </c>
      <c r="AW90" s="40" t="e">
        <f t="shared" ref="AW90:AW104" si="59">+(AU90/AS90)</f>
        <v>#DIV/0!</v>
      </c>
      <c r="AX90" s="40">
        <f t="shared" ref="AX90:AX104" si="60">+(AK90+AB90+AT90)/U90</f>
        <v>0</v>
      </c>
      <c r="AY90" s="40" t="e">
        <f t="shared" ref="AY90:AY104" si="61">+(AL90+AC90+AU90)/W90</f>
        <v>#DIV/0!</v>
      </c>
      <c r="AZ90" s="39">
        <v>3</v>
      </c>
      <c r="BA90" s="35" t="str">
        <f>+$J$90</f>
        <v>Seguimiento a la ejecución presupuestal, PAC y Reservas</v>
      </c>
      <c r="BB90" s="39">
        <v>0</v>
      </c>
      <c r="BC90" s="42"/>
      <c r="BD90" s="42"/>
      <c r="BE90" s="40">
        <f t="shared" ref="BE90:BE104" si="62">+(BC90/AZ90)</f>
        <v>0</v>
      </c>
      <c r="BF90" s="40" t="e">
        <f t="shared" ref="BF90:BF104" si="63">+(BD90/BB90)</f>
        <v>#DIV/0!</v>
      </c>
      <c r="BG90" s="40">
        <f t="shared" ref="BG90:BG104" si="64">+(AK90+AB90+AT90+BC90)/U90</f>
        <v>0</v>
      </c>
      <c r="BH90" s="40" t="e">
        <f t="shared" ref="BH90:BH104" si="65">+(AL90+AC90+AU90+BD90)/W90</f>
        <v>#DIV/0!</v>
      </c>
      <c r="BI90" s="44">
        <f t="shared" ref="BI90:BI107" si="66">IF(AND(Y90=0,AB90=0),"No Prog ni Ejec",IF(Y90=0,CONCATENATE("No Prog, Ejec=  ",AB90),AB90/Y90))</f>
        <v>0</v>
      </c>
      <c r="BJ90" s="44" t="str">
        <f t="shared" ref="BJ90:BJ107" si="67">IF(AND(AA90=0,AC90=0),"No Prog ni Ejec",IF(AA90=0,CONCATENATE("No Prog, Ejec=  ",AC90),AC90/AA90))</f>
        <v>No Prog ni Ejec</v>
      </c>
      <c r="BK90" s="44">
        <f t="shared" ref="BK90:BK107" si="68">IF(AND(AH90=0,AK90=0),"No Prog ni Ejec",IF(AH90=0,CONCATENATE("No Prog, Ejec=  ",AK90),AK90/AH90))</f>
        <v>0</v>
      </c>
      <c r="BL90" s="44" t="str">
        <f t="shared" ref="BL90:BL107" si="69">IF(AND(AJ90=0,AL90=0),"No Prog ni Ejec",IF(AJ90=0,CONCATENATE("No Prog, Ejec=  ",AL90),AL90/AJ90))</f>
        <v>No Prog ni Ejec</v>
      </c>
      <c r="BM90" s="44">
        <f t="shared" ref="BM90:BM107" si="70">IF(AND(AQ90=0,AT90=0),"No Prog ni Ejec",IF(AQ90=0,CONCATENATE("No Prog, Ejec=  ",AT90),AT90/AQ90))</f>
        <v>0</v>
      </c>
      <c r="BN90" s="44" t="str">
        <f t="shared" ref="BN90:BN107" si="71">IF(AND(AS90=0,AU90=0),"No Prog ni Ejec",IF(AS90=0,CONCATENATE("No Prog, Ejec=  ",AU90),AU90/AS90))</f>
        <v>No Prog ni Ejec</v>
      </c>
      <c r="BO90" s="44">
        <f t="shared" ref="BO90:BO107" si="72">IF(AND(AZ90=0,BC90=0),"No Prog ni Ejec",IF(AZ90=0,CONCATENATE("No Prog, Ejec=  ",BC90),BC90/AZ90))</f>
        <v>0</v>
      </c>
      <c r="BP90" s="44" t="str">
        <f t="shared" ref="BP90:BP107" si="73">IF(AND(BB90=0,BD90=0),"No Prog ni Ejec",IF(BB90=0,CONCATENATE("No Prog, Ejec=  ",BD90),BD90/BB90))</f>
        <v>No Prog ni Ejec</v>
      </c>
      <c r="BQ90" s="42"/>
    </row>
    <row r="91" spans="1:69" s="45" customFormat="1" ht="105" x14ac:dyDescent="0.25">
      <c r="A91" s="34">
        <v>11700</v>
      </c>
      <c r="B91" s="35" t="str">
        <f>+VLOOKUP(A91,'[1]TAB. REF. PA'!$A$4:$B$14,2,FALSE)</f>
        <v>Dirección Administrativa y Financiera</v>
      </c>
      <c r="C91" s="36" t="s">
        <v>328</v>
      </c>
      <c r="D91" s="35" t="s">
        <v>256</v>
      </c>
      <c r="E91" s="36" t="s">
        <v>385</v>
      </c>
      <c r="F91" s="35" t="s">
        <v>387</v>
      </c>
      <c r="G91" s="37" t="s">
        <v>384</v>
      </c>
      <c r="H91" s="34">
        <v>4</v>
      </c>
      <c r="I91" s="36" t="s">
        <v>389</v>
      </c>
      <c r="J91" s="35" t="s">
        <v>386</v>
      </c>
      <c r="K91" s="39">
        <v>0</v>
      </c>
      <c r="L91" s="47">
        <v>1</v>
      </c>
      <c r="M91" s="41" t="s">
        <v>46</v>
      </c>
      <c r="N91" s="41" t="s">
        <v>68</v>
      </c>
      <c r="O91" s="41" t="s">
        <v>37</v>
      </c>
      <c r="P91" s="41" t="s">
        <v>38</v>
      </c>
      <c r="Q91" s="41" t="s">
        <v>219</v>
      </c>
      <c r="R91" s="42"/>
      <c r="S91" s="41" t="s">
        <v>627</v>
      </c>
      <c r="T91" s="41" t="s">
        <v>99</v>
      </c>
      <c r="U91" s="34">
        <v>4</v>
      </c>
      <c r="V91" s="35" t="str">
        <f>+$J$91</f>
        <v>Informes Estados Financieros (Balance General y Estado de Resultados) de la UGG</v>
      </c>
      <c r="W91" s="61">
        <v>0</v>
      </c>
      <c r="X91" s="34" t="s">
        <v>117</v>
      </c>
      <c r="Y91" s="34">
        <v>1</v>
      </c>
      <c r="Z91" s="35" t="str">
        <f>+$J$91</f>
        <v>Informes Estados Financieros (Balance General y Estado de Resultados) de la UGG</v>
      </c>
      <c r="AA91" s="39">
        <v>0</v>
      </c>
      <c r="AB91" s="42"/>
      <c r="AC91" s="42"/>
      <c r="AD91" s="40">
        <f t="shared" si="50"/>
        <v>0</v>
      </c>
      <c r="AE91" s="40" t="e">
        <f t="shared" si="51"/>
        <v>#DIV/0!</v>
      </c>
      <c r="AF91" s="40">
        <f t="shared" si="52"/>
        <v>0</v>
      </c>
      <c r="AG91" s="40" t="e">
        <f t="shared" si="53"/>
        <v>#DIV/0!</v>
      </c>
      <c r="AH91" s="39">
        <v>1</v>
      </c>
      <c r="AI91" s="35" t="str">
        <f>+$J$91</f>
        <v>Informes Estados Financieros (Balance General y Estado de Resultados) de la UGG</v>
      </c>
      <c r="AJ91" s="39">
        <v>0</v>
      </c>
      <c r="AK91" s="42"/>
      <c r="AL91" s="42"/>
      <c r="AM91" s="40">
        <f t="shared" si="54"/>
        <v>0</v>
      </c>
      <c r="AN91" s="40" t="e">
        <f t="shared" si="55"/>
        <v>#DIV/0!</v>
      </c>
      <c r="AO91" s="40">
        <f t="shared" si="56"/>
        <v>0</v>
      </c>
      <c r="AP91" s="43" t="e">
        <f t="shared" si="57"/>
        <v>#DIV/0!</v>
      </c>
      <c r="AQ91" s="39">
        <v>1</v>
      </c>
      <c r="AR91" s="35" t="str">
        <f>+$J$91</f>
        <v>Informes Estados Financieros (Balance General y Estado de Resultados) de la UGG</v>
      </c>
      <c r="AS91" s="39">
        <v>0</v>
      </c>
      <c r="AT91" s="42"/>
      <c r="AU91" s="42"/>
      <c r="AV91" s="40">
        <f t="shared" si="58"/>
        <v>0</v>
      </c>
      <c r="AW91" s="40" t="e">
        <f t="shared" si="59"/>
        <v>#DIV/0!</v>
      </c>
      <c r="AX91" s="40">
        <f t="shared" si="60"/>
        <v>0</v>
      </c>
      <c r="AY91" s="40" t="e">
        <f t="shared" si="61"/>
        <v>#DIV/0!</v>
      </c>
      <c r="AZ91" s="39">
        <v>1</v>
      </c>
      <c r="BA91" s="35" t="str">
        <f>+$J$91</f>
        <v>Informes Estados Financieros (Balance General y Estado de Resultados) de la UGG</v>
      </c>
      <c r="BB91" s="39">
        <v>0</v>
      </c>
      <c r="BC91" s="42"/>
      <c r="BD91" s="42"/>
      <c r="BE91" s="40">
        <f t="shared" si="62"/>
        <v>0</v>
      </c>
      <c r="BF91" s="40" t="e">
        <f t="shared" si="63"/>
        <v>#DIV/0!</v>
      </c>
      <c r="BG91" s="40">
        <f t="shared" si="64"/>
        <v>0</v>
      </c>
      <c r="BH91" s="40" t="e">
        <f t="shared" si="65"/>
        <v>#DIV/0!</v>
      </c>
      <c r="BI91" s="44">
        <f t="shared" si="66"/>
        <v>0</v>
      </c>
      <c r="BJ91" s="44" t="str">
        <f t="shared" si="67"/>
        <v>No Prog ni Ejec</v>
      </c>
      <c r="BK91" s="44">
        <f t="shared" si="68"/>
        <v>0</v>
      </c>
      <c r="BL91" s="44" t="str">
        <f t="shared" si="69"/>
        <v>No Prog ni Ejec</v>
      </c>
      <c r="BM91" s="44">
        <f t="shared" si="70"/>
        <v>0</v>
      </c>
      <c r="BN91" s="44" t="str">
        <f t="shared" si="71"/>
        <v>No Prog ni Ejec</v>
      </c>
      <c r="BO91" s="44">
        <f t="shared" si="72"/>
        <v>0</v>
      </c>
      <c r="BP91" s="44" t="str">
        <f t="shared" si="73"/>
        <v>No Prog ni Ejec</v>
      </c>
      <c r="BQ91" s="42"/>
    </row>
    <row r="92" spans="1:69" s="45" customFormat="1" ht="105" x14ac:dyDescent="0.25">
      <c r="A92" s="34">
        <v>11700</v>
      </c>
      <c r="B92" s="35" t="str">
        <f>+VLOOKUP(A92,'[1]TAB. REF. PA'!$A$4:$B$14,2,FALSE)</f>
        <v>Dirección Administrativa y Financiera</v>
      </c>
      <c r="C92" s="36" t="s">
        <v>328</v>
      </c>
      <c r="D92" s="35" t="s">
        <v>256</v>
      </c>
      <c r="E92" s="36" t="s">
        <v>391</v>
      </c>
      <c r="F92" s="35" t="s">
        <v>393</v>
      </c>
      <c r="G92" s="37" t="s">
        <v>384</v>
      </c>
      <c r="H92" s="34">
        <v>4</v>
      </c>
      <c r="I92" s="36" t="s">
        <v>392</v>
      </c>
      <c r="J92" s="35" t="s">
        <v>390</v>
      </c>
      <c r="K92" s="39">
        <v>0</v>
      </c>
      <c r="L92" s="47">
        <v>1</v>
      </c>
      <c r="M92" s="41" t="s">
        <v>46</v>
      </c>
      <c r="N92" s="41" t="s">
        <v>68</v>
      </c>
      <c r="O92" s="41" t="s">
        <v>37</v>
      </c>
      <c r="P92" s="41" t="s">
        <v>38</v>
      </c>
      <c r="Q92" s="41" t="s">
        <v>219</v>
      </c>
      <c r="R92" s="42"/>
      <c r="S92" s="41" t="s">
        <v>628</v>
      </c>
      <c r="T92" s="41" t="s">
        <v>99</v>
      </c>
      <c r="U92" s="34">
        <v>4</v>
      </c>
      <c r="V92" s="35" t="str">
        <f>+$J$92</f>
        <v>Informes Operaciones Reciprocas</v>
      </c>
      <c r="W92" s="61">
        <v>0</v>
      </c>
      <c r="X92" s="34" t="s">
        <v>117</v>
      </c>
      <c r="Y92" s="34">
        <v>1</v>
      </c>
      <c r="Z92" s="35" t="str">
        <f>+$J$92</f>
        <v>Informes Operaciones Reciprocas</v>
      </c>
      <c r="AA92" s="39">
        <v>0</v>
      </c>
      <c r="AB92" s="42"/>
      <c r="AC92" s="42"/>
      <c r="AD92" s="40">
        <f t="shared" si="50"/>
        <v>0</v>
      </c>
      <c r="AE92" s="40" t="e">
        <f t="shared" si="51"/>
        <v>#DIV/0!</v>
      </c>
      <c r="AF92" s="40">
        <f t="shared" si="52"/>
        <v>0</v>
      </c>
      <c r="AG92" s="40" t="e">
        <f t="shared" si="53"/>
        <v>#DIV/0!</v>
      </c>
      <c r="AH92" s="39">
        <v>1</v>
      </c>
      <c r="AI92" s="35" t="str">
        <f>+$J$92</f>
        <v>Informes Operaciones Reciprocas</v>
      </c>
      <c r="AJ92" s="39">
        <v>0</v>
      </c>
      <c r="AK92" s="42"/>
      <c r="AL92" s="42"/>
      <c r="AM92" s="40">
        <f t="shared" si="54"/>
        <v>0</v>
      </c>
      <c r="AN92" s="40" t="e">
        <f t="shared" si="55"/>
        <v>#DIV/0!</v>
      </c>
      <c r="AO92" s="40">
        <f t="shared" si="56"/>
        <v>0</v>
      </c>
      <c r="AP92" s="43" t="e">
        <f t="shared" si="57"/>
        <v>#DIV/0!</v>
      </c>
      <c r="AQ92" s="39">
        <v>1</v>
      </c>
      <c r="AR92" s="35" t="str">
        <f>+$J$92</f>
        <v>Informes Operaciones Reciprocas</v>
      </c>
      <c r="AS92" s="39">
        <v>0</v>
      </c>
      <c r="AT92" s="42"/>
      <c r="AU92" s="42"/>
      <c r="AV92" s="40">
        <f t="shared" si="58"/>
        <v>0</v>
      </c>
      <c r="AW92" s="40" t="e">
        <f t="shared" si="59"/>
        <v>#DIV/0!</v>
      </c>
      <c r="AX92" s="40">
        <f t="shared" si="60"/>
        <v>0</v>
      </c>
      <c r="AY92" s="40" t="e">
        <f t="shared" si="61"/>
        <v>#DIV/0!</v>
      </c>
      <c r="AZ92" s="39">
        <v>1</v>
      </c>
      <c r="BA92" s="35" t="str">
        <f>+$J$92</f>
        <v>Informes Operaciones Reciprocas</v>
      </c>
      <c r="BB92" s="39">
        <v>0</v>
      </c>
      <c r="BC92" s="42"/>
      <c r="BD92" s="42"/>
      <c r="BE92" s="40">
        <f t="shared" si="62"/>
        <v>0</v>
      </c>
      <c r="BF92" s="40" t="e">
        <f t="shared" si="63"/>
        <v>#DIV/0!</v>
      </c>
      <c r="BG92" s="40">
        <f t="shared" si="64"/>
        <v>0</v>
      </c>
      <c r="BH92" s="40" t="e">
        <f t="shared" si="65"/>
        <v>#DIV/0!</v>
      </c>
      <c r="BI92" s="44">
        <f t="shared" si="66"/>
        <v>0</v>
      </c>
      <c r="BJ92" s="44" t="str">
        <f t="shared" si="67"/>
        <v>No Prog ni Ejec</v>
      </c>
      <c r="BK92" s="44">
        <f t="shared" si="68"/>
        <v>0</v>
      </c>
      <c r="BL92" s="44" t="str">
        <f t="shared" si="69"/>
        <v>No Prog ni Ejec</v>
      </c>
      <c r="BM92" s="44">
        <f t="shared" si="70"/>
        <v>0</v>
      </c>
      <c r="BN92" s="44" t="str">
        <f t="shared" si="71"/>
        <v>No Prog ni Ejec</v>
      </c>
      <c r="BO92" s="44">
        <f t="shared" si="72"/>
        <v>0</v>
      </c>
      <c r="BP92" s="44" t="str">
        <f t="shared" si="73"/>
        <v>No Prog ni Ejec</v>
      </c>
      <c r="BQ92" s="42"/>
    </row>
    <row r="93" spans="1:69" s="45" customFormat="1" ht="135" x14ac:dyDescent="0.25">
      <c r="A93" s="34">
        <v>11700</v>
      </c>
      <c r="B93" s="35" t="str">
        <f>+VLOOKUP(A93,'[1]TAB. REF. PA'!$A$4:$B$14,2,FALSE)</f>
        <v>Dirección Administrativa y Financiera</v>
      </c>
      <c r="C93" s="36" t="s">
        <v>328</v>
      </c>
      <c r="D93" s="35" t="s">
        <v>256</v>
      </c>
      <c r="E93" s="36" t="s">
        <v>394</v>
      </c>
      <c r="F93" s="35" t="s">
        <v>395</v>
      </c>
      <c r="G93" s="37" t="s">
        <v>123</v>
      </c>
      <c r="H93" s="46">
        <v>1</v>
      </c>
      <c r="I93" s="36" t="s">
        <v>396</v>
      </c>
      <c r="J93" s="35" t="s">
        <v>397</v>
      </c>
      <c r="K93" s="39">
        <v>0</v>
      </c>
      <c r="L93" s="47">
        <v>1</v>
      </c>
      <c r="M93" s="41" t="s">
        <v>46</v>
      </c>
      <c r="N93" s="41" t="s">
        <v>68</v>
      </c>
      <c r="O93" s="41" t="s">
        <v>37</v>
      </c>
      <c r="P93" s="41" t="s">
        <v>38</v>
      </c>
      <c r="Q93" s="41" t="s">
        <v>219</v>
      </c>
      <c r="R93" s="42"/>
      <c r="S93" s="41" t="s">
        <v>398</v>
      </c>
      <c r="T93" s="41" t="s">
        <v>99</v>
      </c>
      <c r="U93" s="40">
        <v>1</v>
      </c>
      <c r="V93" s="35" t="str">
        <f>+$J$93</f>
        <v xml:space="preserve">Tramite de pago de las Cuentas de Cobro con Soportes Documentales radicadas en el mes </v>
      </c>
      <c r="W93" s="61">
        <v>0</v>
      </c>
      <c r="X93" s="34" t="s">
        <v>117</v>
      </c>
      <c r="Y93" s="40">
        <v>0.25</v>
      </c>
      <c r="Z93" s="35" t="str">
        <f>+$J$93</f>
        <v xml:space="preserve">Tramite de pago de las Cuentas de Cobro con Soportes Documentales radicadas en el mes </v>
      </c>
      <c r="AA93" s="39">
        <v>0</v>
      </c>
      <c r="AB93" s="42"/>
      <c r="AC93" s="42"/>
      <c r="AD93" s="40">
        <f t="shared" si="50"/>
        <v>0</v>
      </c>
      <c r="AE93" s="40" t="e">
        <f t="shared" si="51"/>
        <v>#DIV/0!</v>
      </c>
      <c r="AF93" s="40">
        <f t="shared" si="52"/>
        <v>0</v>
      </c>
      <c r="AG93" s="40" t="e">
        <f t="shared" si="53"/>
        <v>#DIV/0!</v>
      </c>
      <c r="AH93" s="40">
        <v>0.25</v>
      </c>
      <c r="AI93" s="35" t="str">
        <f>+$J$93</f>
        <v xml:space="preserve">Tramite de pago de las Cuentas de Cobro con Soportes Documentales radicadas en el mes </v>
      </c>
      <c r="AJ93" s="39">
        <v>0</v>
      </c>
      <c r="AK93" s="42"/>
      <c r="AL93" s="42"/>
      <c r="AM93" s="40">
        <f t="shared" si="54"/>
        <v>0</v>
      </c>
      <c r="AN93" s="40" t="e">
        <f t="shared" si="55"/>
        <v>#DIV/0!</v>
      </c>
      <c r="AO93" s="40">
        <f t="shared" si="56"/>
        <v>0</v>
      </c>
      <c r="AP93" s="43" t="e">
        <f t="shared" si="57"/>
        <v>#DIV/0!</v>
      </c>
      <c r="AQ93" s="40">
        <v>0.25</v>
      </c>
      <c r="AR93" s="35" t="str">
        <f>+$J$93</f>
        <v xml:space="preserve">Tramite de pago de las Cuentas de Cobro con Soportes Documentales radicadas en el mes </v>
      </c>
      <c r="AS93" s="39">
        <v>0</v>
      </c>
      <c r="AT93" s="42"/>
      <c r="AU93" s="42"/>
      <c r="AV93" s="40">
        <f t="shared" si="58"/>
        <v>0</v>
      </c>
      <c r="AW93" s="40" t="e">
        <f t="shared" si="59"/>
        <v>#DIV/0!</v>
      </c>
      <c r="AX93" s="40">
        <f t="shared" si="60"/>
        <v>0</v>
      </c>
      <c r="AY93" s="40" t="e">
        <f t="shared" si="61"/>
        <v>#DIV/0!</v>
      </c>
      <c r="AZ93" s="40">
        <v>0.25</v>
      </c>
      <c r="BA93" s="35" t="str">
        <f>+$J$93</f>
        <v xml:space="preserve">Tramite de pago de las Cuentas de Cobro con Soportes Documentales radicadas en el mes </v>
      </c>
      <c r="BB93" s="39">
        <v>0</v>
      </c>
      <c r="BC93" s="42"/>
      <c r="BD93" s="42"/>
      <c r="BE93" s="40">
        <f t="shared" si="62"/>
        <v>0</v>
      </c>
      <c r="BF93" s="40" t="e">
        <f t="shared" si="63"/>
        <v>#DIV/0!</v>
      </c>
      <c r="BG93" s="40">
        <f t="shared" si="64"/>
        <v>0</v>
      </c>
      <c r="BH93" s="40" t="e">
        <f t="shared" si="65"/>
        <v>#DIV/0!</v>
      </c>
      <c r="BI93" s="44">
        <f t="shared" si="66"/>
        <v>0</v>
      </c>
      <c r="BJ93" s="44" t="str">
        <f t="shared" si="67"/>
        <v>No Prog ni Ejec</v>
      </c>
      <c r="BK93" s="44">
        <f t="shared" si="68"/>
        <v>0</v>
      </c>
      <c r="BL93" s="44" t="str">
        <f t="shared" si="69"/>
        <v>No Prog ni Ejec</v>
      </c>
      <c r="BM93" s="44">
        <f t="shared" si="70"/>
        <v>0</v>
      </c>
      <c r="BN93" s="44" t="str">
        <f t="shared" si="71"/>
        <v>No Prog ni Ejec</v>
      </c>
      <c r="BO93" s="44">
        <f t="shared" si="72"/>
        <v>0</v>
      </c>
      <c r="BP93" s="44" t="str">
        <f t="shared" si="73"/>
        <v>No Prog ni Ejec</v>
      </c>
      <c r="BQ93" s="42"/>
    </row>
    <row r="94" spans="1:69" s="45" customFormat="1" ht="150" x14ac:dyDescent="0.25">
      <c r="A94" s="34">
        <v>11700</v>
      </c>
      <c r="B94" s="35" t="str">
        <f>+VLOOKUP(A94,'[1]TAB. REF. PA'!$A$4:$B$14,2,FALSE)</f>
        <v>Dirección Administrativa y Financiera</v>
      </c>
      <c r="C94" s="36" t="s">
        <v>328</v>
      </c>
      <c r="D94" s="35" t="s">
        <v>256</v>
      </c>
      <c r="E94" s="36" t="s">
        <v>399</v>
      </c>
      <c r="F94" s="35" t="s">
        <v>400</v>
      </c>
      <c r="G94" s="37" t="s">
        <v>123</v>
      </c>
      <c r="H94" s="46">
        <v>1</v>
      </c>
      <c r="I94" s="36" t="s">
        <v>403</v>
      </c>
      <c r="J94" s="35" t="s">
        <v>405</v>
      </c>
      <c r="K94" s="39">
        <v>321766980</v>
      </c>
      <c r="L94" s="47">
        <v>1</v>
      </c>
      <c r="M94" s="41" t="s">
        <v>51</v>
      </c>
      <c r="N94" s="41" t="s">
        <v>56</v>
      </c>
      <c r="O94" s="41" t="s">
        <v>37</v>
      </c>
      <c r="P94" s="41" t="s">
        <v>40</v>
      </c>
      <c r="Q94" s="41" t="s">
        <v>217</v>
      </c>
      <c r="R94" s="42"/>
      <c r="S94" s="41" t="s">
        <v>370</v>
      </c>
      <c r="T94" s="41" t="s">
        <v>111</v>
      </c>
      <c r="U94" s="47">
        <v>1</v>
      </c>
      <c r="V94" s="35" t="str">
        <f>+$J$94</f>
        <v>Trámites  Precontractuales y Contractuales Adelantados de conformidad con Plan de Adquisiciones de la Dirección.</v>
      </c>
      <c r="W94" s="61">
        <f>+K94</f>
        <v>321766980</v>
      </c>
      <c r="X94" s="34" t="s">
        <v>114</v>
      </c>
      <c r="Y94" s="47">
        <v>0.25</v>
      </c>
      <c r="Z94" s="35" t="str">
        <f>+$J$94</f>
        <v>Trámites  Precontractuales y Contractuales Adelantados de conformidad con Plan de Adquisiciones de la Dirección.</v>
      </c>
      <c r="AA94" s="39">
        <f>+VLOOKUP($I$94,'[1]Plan Adquisiciones'!$Z$5:$AD$47,5,FALSE)</f>
        <v>104921745</v>
      </c>
      <c r="AB94" s="42"/>
      <c r="AC94" s="42"/>
      <c r="AD94" s="40">
        <f t="shared" si="50"/>
        <v>0</v>
      </c>
      <c r="AE94" s="40">
        <f t="shared" si="51"/>
        <v>0</v>
      </c>
      <c r="AF94" s="40">
        <f t="shared" si="52"/>
        <v>0</v>
      </c>
      <c r="AG94" s="40">
        <f t="shared" si="53"/>
        <v>0</v>
      </c>
      <c r="AH94" s="47">
        <v>0.25</v>
      </c>
      <c r="AI94" s="35" t="str">
        <f>+$J$94</f>
        <v>Trámites  Precontractuales y Contractuales Adelantados de conformidad con Plan de Adquisiciones de la Dirección.</v>
      </c>
      <c r="AJ94" s="39">
        <f>+VLOOKUP($I$94,'[1]Plan Adquisiciones'!$Z$5:$AE$47,6,FALSE)</f>
        <v>72281745</v>
      </c>
      <c r="AK94" s="42"/>
      <c r="AL94" s="42"/>
      <c r="AM94" s="40">
        <f t="shared" si="54"/>
        <v>0</v>
      </c>
      <c r="AN94" s="40">
        <f t="shared" si="55"/>
        <v>0</v>
      </c>
      <c r="AO94" s="40">
        <f t="shared" si="56"/>
        <v>0</v>
      </c>
      <c r="AP94" s="43">
        <f t="shared" si="57"/>
        <v>0</v>
      </c>
      <c r="AQ94" s="47">
        <v>0.25</v>
      </c>
      <c r="AR94" s="35" t="str">
        <f>+$J$94</f>
        <v>Trámites  Precontractuales y Contractuales Adelantados de conformidad con Plan de Adquisiciones de la Dirección.</v>
      </c>
      <c r="AS94" s="39">
        <f>+VLOOKUP($I$94,'[1]Plan Adquisiciones'!$Z$5:$AF$47,7,FALSE)</f>
        <v>72281745</v>
      </c>
      <c r="AT94" s="42"/>
      <c r="AU94" s="42"/>
      <c r="AV94" s="40">
        <f t="shared" si="58"/>
        <v>0</v>
      </c>
      <c r="AW94" s="40">
        <f t="shared" si="59"/>
        <v>0</v>
      </c>
      <c r="AX94" s="40">
        <f t="shared" si="60"/>
        <v>0</v>
      </c>
      <c r="AY94" s="40">
        <f t="shared" si="61"/>
        <v>0</v>
      </c>
      <c r="AZ94" s="47">
        <v>0.25</v>
      </c>
      <c r="BA94" s="35" t="str">
        <f>+$J$94</f>
        <v>Trámites  Precontractuales y Contractuales Adelantados de conformidad con Plan de Adquisiciones de la Dirección.</v>
      </c>
      <c r="BB94" s="39">
        <f>+VLOOKUP($I$94,'[1]Plan Adquisiciones'!$Z$5:$AG$47,8,FALSE)</f>
        <v>72281745</v>
      </c>
      <c r="BC94" s="42"/>
      <c r="BD94" s="42"/>
      <c r="BE94" s="40">
        <f t="shared" si="62"/>
        <v>0</v>
      </c>
      <c r="BF94" s="40">
        <f t="shared" si="63"/>
        <v>0</v>
      </c>
      <c r="BG94" s="40">
        <f t="shared" si="64"/>
        <v>0</v>
      </c>
      <c r="BH94" s="40">
        <f t="shared" si="65"/>
        <v>0</v>
      </c>
      <c r="BI94" s="44">
        <f t="shared" si="66"/>
        <v>0</v>
      </c>
      <c r="BJ94" s="44">
        <f t="shared" si="67"/>
        <v>0</v>
      </c>
      <c r="BK94" s="44">
        <f t="shared" si="68"/>
        <v>0</v>
      </c>
      <c r="BL94" s="44">
        <f t="shared" si="69"/>
        <v>0</v>
      </c>
      <c r="BM94" s="44">
        <f t="shared" si="70"/>
        <v>0</v>
      </c>
      <c r="BN94" s="44">
        <f t="shared" si="71"/>
        <v>0</v>
      </c>
      <c r="BO94" s="44">
        <f t="shared" si="72"/>
        <v>0</v>
      </c>
      <c r="BP94" s="44">
        <f t="shared" si="73"/>
        <v>0</v>
      </c>
      <c r="BQ94" s="42"/>
    </row>
    <row r="95" spans="1:69" s="45" customFormat="1" ht="105" x14ac:dyDescent="0.25">
      <c r="A95" s="34">
        <v>11700</v>
      </c>
      <c r="B95" s="35" t="str">
        <f>+VLOOKUP(A95,'[1]TAB. REF. PA'!$A$4:$B$14,2,FALSE)</f>
        <v>Dirección Administrativa y Financiera</v>
      </c>
      <c r="C95" s="36" t="s">
        <v>328</v>
      </c>
      <c r="D95" s="35" t="s">
        <v>256</v>
      </c>
      <c r="E95" s="36" t="s">
        <v>401</v>
      </c>
      <c r="F95" s="35" t="s">
        <v>563</v>
      </c>
      <c r="G95" s="37" t="s">
        <v>123</v>
      </c>
      <c r="H95" s="46">
        <v>1</v>
      </c>
      <c r="I95" s="36" t="s">
        <v>404</v>
      </c>
      <c r="J95" s="35" t="s">
        <v>564</v>
      </c>
      <c r="K95" s="39">
        <v>0</v>
      </c>
      <c r="L95" s="47">
        <v>1</v>
      </c>
      <c r="M95" s="41" t="s">
        <v>51</v>
      </c>
      <c r="N95" s="41" t="s">
        <v>56</v>
      </c>
      <c r="O95" s="41" t="s">
        <v>37</v>
      </c>
      <c r="P95" s="41" t="s">
        <v>40</v>
      </c>
      <c r="Q95" s="41" t="s">
        <v>217</v>
      </c>
      <c r="R95" s="42"/>
      <c r="S95" s="41" t="s">
        <v>406</v>
      </c>
      <c r="T95" s="41" t="s">
        <v>111</v>
      </c>
      <c r="U95" s="47">
        <v>1</v>
      </c>
      <c r="V95" s="35" t="str">
        <f>+$J$95</f>
        <v xml:space="preserve">No de Actos de cierre y/ o liquidaciones elaboradas / No. De Contratos terminados. </v>
      </c>
      <c r="W95" s="61">
        <v>0</v>
      </c>
      <c r="X95" s="34" t="s">
        <v>117</v>
      </c>
      <c r="Y95" s="47">
        <v>0.25</v>
      </c>
      <c r="Z95" s="35" t="str">
        <f>+$V$95</f>
        <v xml:space="preserve">No de Actos de cierre y/ o liquidaciones elaboradas / No. De Contratos terminados. </v>
      </c>
      <c r="AA95" s="39">
        <v>0</v>
      </c>
      <c r="AB95" s="42"/>
      <c r="AC95" s="42"/>
      <c r="AD95" s="40">
        <f t="shared" si="50"/>
        <v>0</v>
      </c>
      <c r="AE95" s="40" t="e">
        <f t="shared" si="51"/>
        <v>#DIV/0!</v>
      </c>
      <c r="AF95" s="40">
        <f t="shared" si="52"/>
        <v>0</v>
      </c>
      <c r="AG95" s="40" t="e">
        <f t="shared" si="53"/>
        <v>#DIV/0!</v>
      </c>
      <c r="AH95" s="47">
        <v>0.25</v>
      </c>
      <c r="AI95" s="35" t="str">
        <f>+$V$95</f>
        <v xml:space="preserve">No de Actos de cierre y/ o liquidaciones elaboradas / No. De Contratos terminados. </v>
      </c>
      <c r="AJ95" s="39">
        <v>0</v>
      </c>
      <c r="AK95" s="42"/>
      <c r="AL95" s="42"/>
      <c r="AM95" s="40">
        <f t="shared" si="54"/>
        <v>0</v>
      </c>
      <c r="AN95" s="40" t="e">
        <f t="shared" si="55"/>
        <v>#DIV/0!</v>
      </c>
      <c r="AO95" s="40">
        <f t="shared" si="56"/>
        <v>0</v>
      </c>
      <c r="AP95" s="43" t="e">
        <f t="shared" si="57"/>
        <v>#DIV/0!</v>
      </c>
      <c r="AQ95" s="47">
        <v>0.25</v>
      </c>
      <c r="AR95" s="35" t="str">
        <f>+$V$95</f>
        <v xml:space="preserve">No de Actos de cierre y/ o liquidaciones elaboradas / No. De Contratos terminados. </v>
      </c>
      <c r="AS95" s="39">
        <v>0</v>
      </c>
      <c r="AT95" s="42"/>
      <c r="AU95" s="42"/>
      <c r="AV95" s="40">
        <f t="shared" si="58"/>
        <v>0</v>
      </c>
      <c r="AW95" s="40" t="e">
        <f t="shared" si="59"/>
        <v>#DIV/0!</v>
      </c>
      <c r="AX95" s="40">
        <f t="shared" si="60"/>
        <v>0</v>
      </c>
      <c r="AY95" s="40" t="e">
        <f t="shared" si="61"/>
        <v>#DIV/0!</v>
      </c>
      <c r="AZ95" s="47">
        <v>0.25</v>
      </c>
      <c r="BA95" s="35" t="str">
        <f>+$V$95</f>
        <v xml:space="preserve">No de Actos de cierre y/ o liquidaciones elaboradas / No. De Contratos terminados. </v>
      </c>
      <c r="BB95" s="39">
        <v>0</v>
      </c>
      <c r="BC95" s="42"/>
      <c r="BD95" s="42"/>
      <c r="BE95" s="40">
        <f t="shared" si="62"/>
        <v>0</v>
      </c>
      <c r="BF95" s="40" t="e">
        <f t="shared" si="63"/>
        <v>#DIV/0!</v>
      </c>
      <c r="BG95" s="40">
        <f t="shared" si="64"/>
        <v>0</v>
      </c>
      <c r="BH95" s="40" t="e">
        <f t="shared" si="65"/>
        <v>#DIV/0!</v>
      </c>
      <c r="BI95" s="44">
        <f t="shared" si="66"/>
        <v>0</v>
      </c>
      <c r="BJ95" s="44" t="str">
        <f t="shared" si="67"/>
        <v>No Prog ni Ejec</v>
      </c>
      <c r="BK95" s="44">
        <f t="shared" si="68"/>
        <v>0</v>
      </c>
      <c r="BL95" s="44" t="str">
        <f t="shared" si="69"/>
        <v>No Prog ni Ejec</v>
      </c>
      <c r="BM95" s="44">
        <f t="shared" si="70"/>
        <v>0</v>
      </c>
      <c r="BN95" s="44" t="str">
        <f t="shared" si="71"/>
        <v>No Prog ni Ejec</v>
      </c>
      <c r="BO95" s="44">
        <f t="shared" si="72"/>
        <v>0</v>
      </c>
      <c r="BP95" s="44" t="str">
        <f t="shared" si="73"/>
        <v>No Prog ni Ejec</v>
      </c>
      <c r="BQ95" s="42"/>
    </row>
    <row r="96" spans="1:69" s="45" customFormat="1" ht="105" x14ac:dyDescent="0.25">
      <c r="A96" s="34">
        <v>11700</v>
      </c>
      <c r="B96" s="35" t="str">
        <f>+VLOOKUP(A96,'[1]TAB. REF. PA'!$A$4:$B$14,2,FALSE)</f>
        <v>Dirección Administrativa y Financiera</v>
      </c>
      <c r="C96" s="36" t="s">
        <v>328</v>
      </c>
      <c r="D96" s="35" t="s">
        <v>256</v>
      </c>
      <c r="E96" s="36" t="s">
        <v>407</v>
      </c>
      <c r="F96" s="35" t="s">
        <v>661</v>
      </c>
      <c r="G96" s="37" t="s">
        <v>123</v>
      </c>
      <c r="H96" s="46">
        <v>1</v>
      </c>
      <c r="I96" s="36" t="s">
        <v>409</v>
      </c>
      <c r="J96" s="41" t="s">
        <v>660</v>
      </c>
      <c r="K96" s="39">
        <v>487453000</v>
      </c>
      <c r="L96" s="47">
        <v>1</v>
      </c>
      <c r="M96" s="41" t="s">
        <v>45</v>
      </c>
      <c r="N96" s="41" t="s">
        <v>54</v>
      </c>
      <c r="O96" s="41" t="s">
        <v>37</v>
      </c>
      <c r="P96" s="41" t="s">
        <v>38</v>
      </c>
      <c r="Q96" s="41" t="s">
        <v>218</v>
      </c>
      <c r="R96" s="42"/>
      <c r="S96" s="41" t="s">
        <v>664</v>
      </c>
      <c r="T96" s="41" t="s">
        <v>104</v>
      </c>
      <c r="U96" s="52">
        <v>9</v>
      </c>
      <c r="V96" s="35" t="str">
        <f>+$J$96</f>
        <v>Realizar capacitación y fortalecimiento de las competencias laborales de los funcionarios</v>
      </c>
      <c r="W96" s="61">
        <f>+K96</f>
        <v>487453000</v>
      </c>
      <c r="X96" s="34" t="s">
        <v>117</v>
      </c>
      <c r="Y96" s="52">
        <v>3</v>
      </c>
      <c r="Z96" s="35" t="str">
        <f>+$J$96</f>
        <v>Realizar capacitación y fortalecimiento de las competencias laborales de los funcionarios</v>
      </c>
      <c r="AA96" s="39">
        <f>+W96*0.25</f>
        <v>121863250</v>
      </c>
      <c r="AB96" s="42"/>
      <c r="AC96" s="42"/>
      <c r="AD96" s="40">
        <f t="shared" si="50"/>
        <v>0</v>
      </c>
      <c r="AE96" s="40">
        <f t="shared" si="51"/>
        <v>0</v>
      </c>
      <c r="AF96" s="40">
        <f t="shared" si="52"/>
        <v>0</v>
      </c>
      <c r="AG96" s="40">
        <f t="shared" si="53"/>
        <v>0</v>
      </c>
      <c r="AH96" s="52">
        <v>2</v>
      </c>
      <c r="AI96" s="35" t="str">
        <f>+$J$96</f>
        <v>Realizar capacitación y fortalecimiento de las competencias laborales de los funcionarios</v>
      </c>
      <c r="AJ96" s="39">
        <v>121863250</v>
      </c>
      <c r="AK96" s="42"/>
      <c r="AL96" s="42"/>
      <c r="AM96" s="40">
        <f t="shared" si="54"/>
        <v>0</v>
      </c>
      <c r="AN96" s="40">
        <f t="shared" si="55"/>
        <v>0</v>
      </c>
      <c r="AO96" s="40">
        <f t="shared" si="56"/>
        <v>0</v>
      </c>
      <c r="AP96" s="43">
        <f t="shared" si="57"/>
        <v>0</v>
      </c>
      <c r="AQ96" s="52">
        <v>2</v>
      </c>
      <c r="AR96" s="35" t="str">
        <f>+$J$96</f>
        <v>Realizar capacitación y fortalecimiento de las competencias laborales de los funcionarios</v>
      </c>
      <c r="AS96" s="39">
        <v>121863250</v>
      </c>
      <c r="AT96" s="42"/>
      <c r="AU96" s="42"/>
      <c r="AV96" s="40">
        <f t="shared" si="58"/>
        <v>0</v>
      </c>
      <c r="AW96" s="40">
        <f t="shared" si="59"/>
        <v>0</v>
      </c>
      <c r="AX96" s="40">
        <f t="shared" si="60"/>
        <v>0</v>
      </c>
      <c r="AY96" s="40">
        <f t="shared" si="61"/>
        <v>0</v>
      </c>
      <c r="AZ96" s="52">
        <v>2</v>
      </c>
      <c r="BA96" s="35" t="str">
        <f>+$J$96</f>
        <v>Realizar capacitación y fortalecimiento de las competencias laborales de los funcionarios</v>
      </c>
      <c r="BB96" s="39">
        <v>121863250</v>
      </c>
      <c r="BC96" s="42"/>
      <c r="BD96" s="42"/>
      <c r="BE96" s="40">
        <f t="shared" si="62"/>
        <v>0</v>
      </c>
      <c r="BF96" s="40">
        <f t="shared" si="63"/>
        <v>0</v>
      </c>
      <c r="BG96" s="40">
        <f t="shared" si="64"/>
        <v>0</v>
      </c>
      <c r="BH96" s="40">
        <f t="shared" si="65"/>
        <v>0</v>
      </c>
      <c r="BI96" s="44">
        <f t="shared" si="66"/>
        <v>0</v>
      </c>
      <c r="BJ96" s="44">
        <f t="shared" si="67"/>
        <v>0</v>
      </c>
      <c r="BK96" s="44">
        <f t="shared" si="68"/>
        <v>0</v>
      </c>
      <c r="BL96" s="44">
        <f t="shared" si="69"/>
        <v>0</v>
      </c>
      <c r="BM96" s="44">
        <f t="shared" si="70"/>
        <v>0</v>
      </c>
      <c r="BN96" s="44">
        <f t="shared" si="71"/>
        <v>0</v>
      </c>
      <c r="BO96" s="44">
        <f t="shared" si="72"/>
        <v>0</v>
      </c>
      <c r="BP96" s="44">
        <f t="shared" si="73"/>
        <v>0</v>
      </c>
      <c r="BQ96" s="42"/>
    </row>
    <row r="97" spans="1:69" s="45" customFormat="1" ht="105" x14ac:dyDescent="0.25">
      <c r="A97" s="34">
        <v>11700</v>
      </c>
      <c r="B97" s="35" t="str">
        <f>+VLOOKUP(A97,'[1]TAB. REF. PA'!$A$4:$B$14,2,FALSE)</f>
        <v>Dirección Administrativa y Financiera</v>
      </c>
      <c r="C97" s="36" t="s">
        <v>328</v>
      </c>
      <c r="D97" s="35" t="s">
        <v>256</v>
      </c>
      <c r="E97" s="36" t="s">
        <v>407</v>
      </c>
      <c r="F97" s="35" t="s">
        <v>662</v>
      </c>
      <c r="G97" s="37" t="s">
        <v>123</v>
      </c>
      <c r="H97" s="46">
        <v>1</v>
      </c>
      <c r="I97" s="36" t="s">
        <v>629</v>
      </c>
      <c r="J97" s="41" t="s">
        <v>663</v>
      </c>
      <c r="K97" s="39">
        <v>332547000</v>
      </c>
      <c r="L97" s="47">
        <v>1</v>
      </c>
      <c r="M97" s="41" t="s">
        <v>45</v>
      </c>
      <c r="N97" s="41" t="s">
        <v>54</v>
      </c>
      <c r="O97" s="41" t="s">
        <v>37</v>
      </c>
      <c r="P97" s="41" t="s">
        <v>38</v>
      </c>
      <c r="Q97" s="41" t="s">
        <v>218</v>
      </c>
      <c r="R97" s="42"/>
      <c r="S97" s="41" t="s">
        <v>411</v>
      </c>
      <c r="T97" s="41" t="s">
        <v>104</v>
      </c>
      <c r="U97" s="47">
        <v>1</v>
      </c>
      <c r="V97" s="35" t="str">
        <f>+$J$97</f>
        <v>Realizar actividades para fortalecer la calidad de vida de los servidores públicos de la entidad, así como el clima organizacional</v>
      </c>
      <c r="W97" s="61">
        <f>+K97</f>
        <v>332547000</v>
      </c>
      <c r="X97" s="34" t="s">
        <v>114</v>
      </c>
      <c r="Y97" s="47">
        <v>0.25</v>
      </c>
      <c r="Z97" s="35" t="str">
        <f>+$J$97</f>
        <v>Realizar actividades para fortalecer la calidad de vida de los servidores públicos de la entidad, así como el clima organizacional</v>
      </c>
      <c r="AA97" s="39">
        <f>+W97*0.2</f>
        <v>66509400</v>
      </c>
      <c r="AB97" s="42"/>
      <c r="AC97" s="42"/>
      <c r="AD97" s="40">
        <f t="shared" si="50"/>
        <v>0</v>
      </c>
      <c r="AE97" s="40">
        <f t="shared" si="51"/>
        <v>0</v>
      </c>
      <c r="AF97" s="40">
        <f t="shared" si="52"/>
        <v>0</v>
      </c>
      <c r="AG97" s="40">
        <f t="shared" si="53"/>
        <v>0</v>
      </c>
      <c r="AH97" s="47">
        <v>0.25</v>
      </c>
      <c r="AI97" s="35" t="str">
        <f>+$J$97</f>
        <v>Realizar actividades para fortalecer la calidad de vida de los servidores públicos de la entidad, así como el clima organizacional</v>
      </c>
      <c r="AJ97" s="39">
        <f>+W97*0.3</f>
        <v>99764100</v>
      </c>
      <c r="AK97" s="42"/>
      <c r="AL97" s="42"/>
      <c r="AM97" s="40">
        <f t="shared" si="54"/>
        <v>0</v>
      </c>
      <c r="AN97" s="40">
        <f t="shared" si="55"/>
        <v>0</v>
      </c>
      <c r="AO97" s="40">
        <f t="shared" si="56"/>
        <v>0</v>
      </c>
      <c r="AP97" s="43">
        <f t="shared" si="57"/>
        <v>0</v>
      </c>
      <c r="AQ97" s="47">
        <v>0.25</v>
      </c>
      <c r="AR97" s="35" t="str">
        <f>+$J$97</f>
        <v>Realizar actividades para fortalecer la calidad de vida de los servidores públicos de la entidad, así como el clima organizacional</v>
      </c>
      <c r="AS97" s="39">
        <v>66509400</v>
      </c>
      <c r="AT97" s="42"/>
      <c r="AU97" s="42"/>
      <c r="AV97" s="40">
        <f t="shared" si="58"/>
        <v>0</v>
      </c>
      <c r="AW97" s="40">
        <f t="shared" si="59"/>
        <v>0</v>
      </c>
      <c r="AX97" s="40">
        <f t="shared" si="60"/>
        <v>0</v>
      </c>
      <c r="AY97" s="40">
        <f t="shared" si="61"/>
        <v>0</v>
      </c>
      <c r="AZ97" s="47">
        <v>0.25</v>
      </c>
      <c r="BA97" s="35" t="str">
        <f>+$J$97</f>
        <v>Realizar actividades para fortalecer la calidad de vida de los servidores públicos de la entidad, así como el clima organizacional</v>
      </c>
      <c r="BB97" s="39">
        <v>99764100</v>
      </c>
      <c r="BC97" s="42"/>
      <c r="BD97" s="42"/>
      <c r="BE97" s="40">
        <f t="shared" si="62"/>
        <v>0</v>
      </c>
      <c r="BF97" s="40">
        <f t="shared" si="63"/>
        <v>0</v>
      </c>
      <c r="BG97" s="40">
        <f t="shared" si="64"/>
        <v>0</v>
      </c>
      <c r="BH97" s="40">
        <f t="shared" si="65"/>
        <v>0</v>
      </c>
      <c r="BI97" s="44">
        <f t="shared" si="66"/>
        <v>0</v>
      </c>
      <c r="BJ97" s="44">
        <f t="shared" si="67"/>
        <v>0</v>
      </c>
      <c r="BK97" s="44">
        <f t="shared" si="68"/>
        <v>0</v>
      </c>
      <c r="BL97" s="44">
        <f t="shared" si="69"/>
        <v>0</v>
      </c>
      <c r="BM97" s="44">
        <f t="shared" si="70"/>
        <v>0</v>
      </c>
      <c r="BN97" s="44">
        <f t="shared" si="71"/>
        <v>0</v>
      </c>
      <c r="BO97" s="44">
        <f t="shared" si="72"/>
        <v>0</v>
      </c>
      <c r="BP97" s="44">
        <f t="shared" si="73"/>
        <v>0</v>
      </c>
      <c r="BQ97" s="42"/>
    </row>
    <row r="98" spans="1:69" s="58" customFormat="1" ht="105" x14ac:dyDescent="0.25">
      <c r="A98" s="34">
        <v>11700</v>
      </c>
      <c r="B98" s="35" t="str">
        <f>+VLOOKUP(A98,'[1]TAB. REF. PA'!$A$4:$B$14,2,FALSE)</f>
        <v>Dirección Administrativa y Financiera</v>
      </c>
      <c r="C98" s="36" t="s">
        <v>328</v>
      </c>
      <c r="D98" s="35" t="s">
        <v>256</v>
      </c>
      <c r="E98" s="36" t="s">
        <v>412</v>
      </c>
      <c r="F98" s="35" t="s">
        <v>413</v>
      </c>
      <c r="G98" s="37" t="s">
        <v>123</v>
      </c>
      <c r="H98" s="50">
        <v>1</v>
      </c>
      <c r="I98" s="36" t="s">
        <v>416</v>
      </c>
      <c r="J98" s="41" t="s">
        <v>565</v>
      </c>
      <c r="K98" s="39">
        <f>+VLOOKUP(I98,'[1]Plan Adquisiciones'!$Z$5:$AC$47,4,FALSE)</f>
        <v>6000000</v>
      </c>
      <c r="L98" s="47">
        <v>1</v>
      </c>
      <c r="M98" s="41" t="s">
        <v>45</v>
      </c>
      <c r="N98" s="41" t="s">
        <v>54</v>
      </c>
      <c r="O98" s="41" t="s">
        <v>37</v>
      </c>
      <c r="P98" s="41" t="s">
        <v>38</v>
      </c>
      <c r="Q98" s="41" t="s">
        <v>218</v>
      </c>
      <c r="R98" s="42"/>
      <c r="S98" s="41" t="s">
        <v>182</v>
      </c>
      <c r="T98" s="41" t="s">
        <v>104</v>
      </c>
      <c r="U98" s="47">
        <v>1</v>
      </c>
      <c r="V98" s="35" t="str">
        <f>+$J$98</f>
        <v>Realización de Exámenes de Salud Ocupacional (pre-ocupacionales, exámenes médicos post-ocupacionales y exámenes médicos post-incapacidad)</v>
      </c>
      <c r="W98" s="61">
        <f>+K98</f>
        <v>6000000</v>
      </c>
      <c r="X98" s="34" t="s">
        <v>114</v>
      </c>
      <c r="Y98" s="100">
        <v>0.25</v>
      </c>
      <c r="Z98" s="35" t="str">
        <f>+$V$98</f>
        <v>Realización de Exámenes de Salud Ocupacional (pre-ocupacionales, exámenes médicos post-ocupacionales y exámenes médicos post-incapacidad)</v>
      </c>
      <c r="AA98" s="39">
        <v>1500000</v>
      </c>
      <c r="AB98" s="42"/>
      <c r="AC98" s="42"/>
      <c r="AD98" s="40">
        <f t="shared" si="50"/>
        <v>0</v>
      </c>
      <c r="AE98" s="40">
        <f t="shared" si="51"/>
        <v>0</v>
      </c>
      <c r="AF98" s="40">
        <f t="shared" si="52"/>
        <v>0</v>
      </c>
      <c r="AG98" s="40">
        <f t="shared" si="53"/>
        <v>0</v>
      </c>
      <c r="AH98" s="100">
        <v>0.25</v>
      </c>
      <c r="AI98" s="35" t="str">
        <f>+$V$98</f>
        <v>Realización de Exámenes de Salud Ocupacional (pre-ocupacionales, exámenes médicos post-ocupacionales y exámenes médicos post-incapacidad)</v>
      </c>
      <c r="AJ98" s="39">
        <v>1500000</v>
      </c>
      <c r="AK98" s="42"/>
      <c r="AL98" s="42"/>
      <c r="AM98" s="40">
        <f t="shared" si="54"/>
        <v>0</v>
      </c>
      <c r="AN98" s="40">
        <f t="shared" si="55"/>
        <v>0</v>
      </c>
      <c r="AO98" s="40">
        <f t="shared" si="56"/>
        <v>0</v>
      </c>
      <c r="AP98" s="43">
        <f t="shared" si="57"/>
        <v>0</v>
      </c>
      <c r="AQ98" s="100">
        <v>0.25</v>
      </c>
      <c r="AR98" s="35" t="str">
        <f>+$V$98</f>
        <v>Realización de Exámenes de Salud Ocupacional (pre-ocupacionales, exámenes médicos post-ocupacionales y exámenes médicos post-incapacidad)</v>
      </c>
      <c r="AS98" s="39">
        <v>1500000</v>
      </c>
      <c r="AT98" s="42"/>
      <c r="AU98" s="42"/>
      <c r="AV98" s="40">
        <f t="shared" si="58"/>
        <v>0</v>
      </c>
      <c r="AW98" s="40">
        <f t="shared" si="59"/>
        <v>0</v>
      </c>
      <c r="AX98" s="40">
        <f t="shared" si="60"/>
        <v>0</v>
      </c>
      <c r="AY98" s="40">
        <f t="shared" si="61"/>
        <v>0</v>
      </c>
      <c r="AZ98" s="100">
        <v>0.25</v>
      </c>
      <c r="BA98" s="35" t="str">
        <f>+$V$98</f>
        <v>Realización de Exámenes de Salud Ocupacional (pre-ocupacionales, exámenes médicos post-ocupacionales y exámenes médicos post-incapacidad)</v>
      </c>
      <c r="BB98" s="39">
        <v>1500000</v>
      </c>
      <c r="BC98" s="42"/>
      <c r="BD98" s="42"/>
      <c r="BE98" s="40">
        <f t="shared" si="62"/>
        <v>0</v>
      </c>
      <c r="BF98" s="40">
        <f t="shared" si="63"/>
        <v>0</v>
      </c>
      <c r="BG98" s="40">
        <f t="shared" si="64"/>
        <v>0</v>
      </c>
      <c r="BH98" s="40">
        <f t="shared" si="65"/>
        <v>0</v>
      </c>
      <c r="BI98" s="57">
        <f t="shared" si="66"/>
        <v>0</v>
      </c>
      <c r="BJ98" s="57">
        <f t="shared" si="67"/>
        <v>0</v>
      </c>
      <c r="BK98" s="57">
        <f t="shared" si="68"/>
        <v>0</v>
      </c>
      <c r="BL98" s="57">
        <f t="shared" si="69"/>
        <v>0</v>
      </c>
      <c r="BM98" s="57">
        <f t="shared" si="70"/>
        <v>0</v>
      </c>
      <c r="BN98" s="57">
        <f t="shared" si="71"/>
        <v>0</v>
      </c>
      <c r="BO98" s="57">
        <f t="shared" si="72"/>
        <v>0</v>
      </c>
      <c r="BP98" s="57">
        <f t="shared" si="73"/>
        <v>0</v>
      </c>
      <c r="BQ98" s="21"/>
    </row>
    <row r="99" spans="1:69" s="58" customFormat="1" ht="105" x14ac:dyDescent="0.25">
      <c r="A99" s="34">
        <v>11700</v>
      </c>
      <c r="B99" s="35" t="str">
        <f>+VLOOKUP(A99,'[1]TAB. REF. PA'!$A$4:$B$14,2,FALSE)</f>
        <v>Dirección Administrativa y Financiera</v>
      </c>
      <c r="C99" s="36" t="s">
        <v>328</v>
      </c>
      <c r="D99" s="35" t="s">
        <v>256</v>
      </c>
      <c r="E99" s="36" t="s">
        <v>414</v>
      </c>
      <c r="F99" s="35" t="s">
        <v>408</v>
      </c>
      <c r="G99" s="37" t="s">
        <v>124</v>
      </c>
      <c r="H99" s="36">
        <v>12</v>
      </c>
      <c r="I99" s="36" t="s">
        <v>415</v>
      </c>
      <c r="J99" s="38" t="s">
        <v>417</v>
      </c>
      <c r="K99" s="39">
        <v>62099999.999999993</v>
      </c>
      <c r="L99" s="47">
        <v>1</v>
      </c>
      <c r="M99" s="41" t="s">
        <v>45</v>
      </c>
      <c r="N99" s="41" t="s">
        <v>54</v>
      </c>
      <c r="O99" s="41" t="s">
        <v>37</v>
      </c>
      <c r="P99" s="41" t="s">
        <v>38</v>
      </c>
      <c r="Q99" s="41" t="s">
        <v>218</v>
      </c>
      <c r="R99" s="42"/>
      <c r="S99" s="41" t="s">
        <v>658</v>
      </c>
      <c r="T99" s="41" t="s">
        <v>104</v>
      </c>
      <c r="U99" s="42">
        <v>12</v>
      </c>
      <c r="V99" s="35" t="str">
        <f>+$J$99</f>
        <v>Generar y Liquidar Nomina ADRES</v>
      </c>
      <c r="W99" s="61">
        <f>+K99*0.25</f>
        <v>15524999.999999998</v>
      </c>
      <c r="X99" s="34" t="s">
        <v>117</v>
      </c>
      <c r="Y99" s="37">
        <v>3</v>
      </c>
      <c r="Z99" s="35" t="s">
        <v>417</v>
      </c>
      <c r="AA99" s="61">
        <v>15524999.999999998</v>
      </c>
      <c r="AB99" s="42"/>
      <c r="AC99" s="42"/>
      <c r="AD99" s="40">
        <v>0</v>
      </c>
      <c r="AE99" s="40" t="e">
        <v>#DIV/0!</v>
      </c>
      <c r="AF99" s="40">
        <v>0</v>
      </c>
      <c r="AG99" s="40" t="e">
        <v>#DIV/0!</v>
      </c>
      <c r="AH99" s="37">
        <v>3</v>
      </c>
      <c r="AI99" s="35" t="s">
        <v>417</v>
      </c>
      <c r="AJ99" s="61">
        <v>15524999.999999998</v>
      </c>
      <c r="AK99" s="42"/>
      <c r="AL99" s="42"/>
      <c r="AM99" s="40">
        <v>0</v>
      </c>
      <c r="AN99" s="40" t="e">
        <v>#DIV/0!</v>
      </c>
      <c r="AO99" s="40">
        <v>0</v>
      </c>
      <c r="AP99" s="43" t="e">
        <v>#DIV/0!</v>
      </c>
      <c r="AQ99" s="37">
        <v>3</v>
      </c>
      <c r="AR99" s="35" t="s">
        <v>417</v>
      </c>
      <c r="AS99" s="61">
        <v>0</v>
      </c>
      <c r="AT99" s="42"/>
      <c r="AU99" s="42"/>
      <c r="AV99" s="40">
        <v>0</v>
      </c>
      <c r="AW99" s="40" t="e">
        <v>#DIV/0!</v>
      </c>
      <c r="AX99" s="40">
        <v>0</v>
      </c>
      <c r="AY99" s="40" t="e">
        <v>#DIV/0!</v>
      </c>
      <c r="AZ99" s="37">
        <v>3</v>
      </c>
      <c r="BA99" s="35" t="s">
        <v>417</v>
      </c>
      <c r="BB99" s="61">
        <v>0</v>
      </c>
      <c r="BC99" s="42"/>
      <c r="BD99" s="42"/>
      <c r="BE99" s="40" t="e">
        <v>#DIV/0!</v>
      </c>
      <c r="BF99" s="40" t="e">
        <v>#DIV/0!</v>
      </c>
      <c r="BG99" s="40">
        <v>0</v>
      </c>
      <c r="BH99" s="40" t="e">
        <v>#DIV/0!</v>
      </c>
      <c r="BI99" s="57">
        <f t="shared" si="66"/>
        <v>0</v>
      </c>
      <c r="BJ99" s="57">
        <f t="shared" si="67"/>
        <v>0</v>
      </c>
      <c r="BK99" s="57">
        <f t="shared" si="68"/>
        <v>0</v>
      </c>
      <c r="BL99" s="57">
        <f t="shared" si="69"/>
        <v>0</v>
      </c>
      <c r="BM99" s="57">
        <f t="shared" si="70"/>
        <v>0</v>
      </c>
      <c r="BN99" s="57" t="str">
        <f t="shared" si="71"/>
        <v>No Prog ni Ejec</v>
      </c>
      <c r="BO99" s="57">
        <f t="shared" si="72"/>
        <v>0</v>
      </c>
      <c r="BP99" s="57" t="str">
        <f t="shared" si="73"/>
        <v>No Prog ni Ejec</v>
      </c>
      <c r="BQ99" s="21"/>
    </row>
    <row r="100" spans="1:69" s="58" customFormat="1" ht="105" x14ac:dyDescent="0.25">
      <c r="A100" s="34">
        <v>11700</v>
      </c>
      <c r="B100" s="35" t="str">
        <f>+VLOOKUP(A100,'[1]TAB. REF. PA'!$A$4:$B$14,2,FALSE)</f>
        <v>Dirección Administrativa y Financiera</v>
      </c>
      <c r="C100" s="36" t="s">
        <v>328</v>
      </c>
      <c r="D100" s="35" t="s">
        <v>256</v>
      </c>
      <c r="E100" s="36" t="s">
        <v>418</v>
      </c>
      <c r="F100" s="35" t="s">
        <v>419</v>
      </c>
      <c r="G100" s="37" t="s">
        <v>659</v>
      </c>
      <c r="H100" s="50">
        <v>1</v>
      </c>
      <c r="I100" s="36" t="s">
        <v>420</v>
      </c>
      <c r="J100" s="41" t="s">
        <v>566</v>
      </c>
      <c r="K100" s="39">
        <v>27880404</v>
      </c>
      <c r="L100" s="47">
        <v>1</v>
      </c>
      <c r="M100" s="41" t="s">
        <v>45</v>
      </c>
      <c r="N100" s="41" t="s">
        <v>54</v>
      </c>
      <c r="O100" s="41" t="s">
        <v>37</v>
      </c>
      <c r="P100" s="41" t="s">
        <v>38</v>
      </c>
      <c r="Q100" s="41" t="s">
        <v>218</v>
      </c>
      <c r="R100" s="42"/>
      <c r="S100" s="101" t="s">
        <v>379</v>
      </c>
      <c r="T100" s="41" t="s">
        <v>104</v>
      </c>
      <c r="U100" s="102">
        <v>1</v>
      </c>
      <c r="V100" s="35" t="s">
        <v>566</v>
      </c>
      <c r="W100" s="61">
        <f>+K100</f>
        <v>27880404</v>
      </c>
      <c r="X100" s="34" t="s">
        <v>114</v>
      </c>
      <c r="Y100" s="102">
        <v>0.25</v>
      </c>
      <c r="Z100" s="35" t="s">
        <v>566</v>
      </c>
      <c r="AA100" s="61">
        <f>+W100*Y100</f>
        <v>6970101</v>
      </c>
      <c r="AB100" s="42"/>
      <c r="AC100" s="42"/>
      <c r="AD100" s="40" t="e">
        <v>#DIV/0!</v>
      </c>
      <c r="AE100" s="40" t="e">
        <v>#DIV/0!</v>
      </c>
      <c r="AF100" s="40" t="e">
        <v>#DIV/0!</v>
      </c>
      <c r="AG100" s="40" t="e">
        <v>#DIV/0!</v>
      </c>
      <c r="AH100" s="102">
        <v>0.25</v>
      </c>
      <c r="AI100" s="35" t="s">
        <v>566</v>
      </c>
      <c r="AJ100" s="61">
        <f>+W100*AH100</f>
        <v>6970101</v>
      </c>
      <c r="AK100" s="42"/>
      <c r="AL100" s="42">
        <v>0</v>
      </c>
      <c r="AM100" s="40" t="e">
        <v>#DIV/0!</v>
      </c>
      <c r="AN100" s="40" t="e">
        <v>#DIV/0!</v>
      </c>
      <c r="AO100" s="40" t="e">
        <v>#DIV/0!</v>
      </c>
      <c r="AP100" s="43" t="e">
        <v>#DIV/0!</v>
      </c>
      <c r="AQ100" s="102">
        <v>0.25</v>
      </c>
      <c r="AR100" s="35" t="s">
        <v>566</v>
      </c>
      <c r="AS100" s="61">
        <f>+W100*AQ100</f>
        <v>6970101</v>
      </c>
      <c r="AT100" s="42">
        <v>0</v>
      </c>
      <c r="AU100" s="42"/>
      <c r="AV100" s="40" t="e">
        <v>#DIV/0!</v>
      </c>
      <c r="AW100" s="40" t="e">
        <v>#DIV/0!</v>
      </c>
      <c r="AX100" s="40" t="e">
        <v>#DIV/0!</v>
      </c>
      <c r="AY100" s="40" t="e">
        <v>#DIV/0!</v>
      </c>
      <c r="AZ100" s="102">
        <v>0.25</v>
      </c>
      <c r="BA100" s="35" t="s">
        <v>566</v>
      </c>
      <c r="BB100" s="61">
        <f>+W100*AZ100</f>
        <v>6970101</v>
      </c>
      <c r="BC100" s="42"/>
      <c r="BD100" s="42"/>
      <c r="BE100" s="40" t="e">
        <v>#DIV/0!</v>
      </c>
      <c r="BF100" s="40" t="e">
        <v>#DIV/0!</v>
      </c>
      <c r="BG100" s="40" t="e">
        <v>#DIV/0!</v>
      </c>
      <c r="BH100" s="40" t="e">
        <v>#DIV/0!</v>
      </c>
      <c r="BI100" s="57">
        <f t="shared" si="66"/>
        <v>0</v>
      </c>
      <c r="BJ100" s="57">
        <f t="shared" si="67"/>
        <v>0</v>
      </c>
      <c r="BK100" s="57">
        <f t="shared" si="68"/>
        <v>0</v>
      </c>
      <c r="BL100" s="57">
        <f t="shared" si="69"/>
        <v>0</v>
      </c>
      <c r="BM100" s="57">
        <f t="shared" si="70"/>
        <v>0</v>
      </c>
      <c r="BN100" s="57">
        <f t="shared" si="71"/>
        <v>0</v>
      </c>
      <c r="BO100" s="57">
        <f t="shared" si="72"/>
        <v>0</v>
      </c>
      <c r="BP100" s="57">
        <f t="shared" si="73"/>
        <v>0</v>
      </c>
      <c r="BQ100" s="21"/>
    </row>
    <row r="101" spans="1:69" s="58" customFormat="1" ht="105" x14ac:dyDescent="0.25">
      <c r="A101" s="34">
        <v>11700</v>
      </c>
      <c r="B101" s="35" t="str">
        <f>+VLOOKUP(A101,'[1]TAB. REF. PA'!$A$4:$B$14,2,FALSE)</f>
        <v>Dirección Administrativa y Financiera</v>
      </c>
      <c r="C101" s="36" t="s">
        <v>328</v>
      </c>
      <c r="D101" s="35" t="s">
        <v>256</v>
      </c>
      <c r="E101" s="36" t="s">
        <v>418</v>
      </c>
      <c r="F101" s="35" t="s">
        <v>419</v>
      </c>
      <c r="G101" s="37"/>
      <c r="H101" s="36"/>
      <c r="I101" s="36" t="s">
        <v>630</v>
      </c>
      <c r="J101" s="41" t="s">
        <v>421</v>
      </c>
      <c r="K101" s="39">
        <f>+VLOOKUP(I101,'[1]Plan Adquisiciones'!$Z$4:$AC$47,4,FALSE)</f>
        <v>48960000</v>
      </c>
      <c r="L101" s="47">
        <v>1</v>
      </c>
      <c r="M101" s="41" t="s">
        <v>45</v>
      </c>
      <c r="N101" s="41" t="s">
        <v>54</v>
      </c>
      <c r="O101" s="41" t="s">
        <v>37</v>
      </c>
      <c r="P101" s="41" t="s">
        <v>38</v>
      </c>
      <c r="Q101" s="41" t="s">
        <v>218</v>
      </c>
      <c r="R101" s="42"/>
      <c r="S101" s="101" t="s">
        <v>379</v>
      </c>
      <c r="T101" s="41" t="s">
        <v>104</v>
      </c>
      <c r="U101" s="100">
        <v>1</v>
      </c>
      <c r="V101" s="35" t="str">
        <f>+$J$101</f>
        <v>Expedición de Certificaciones de Personal</v>
      </c>
      <c r="W101" s="61">
        <f t="shared" ref="W101:W104" si="74">+K101</f>
        <v>48960000</v>
      </c>
      <c r="X101" s="34" t="s">
        <v>114</v>
      </c>
      <c r="Y101" s="100">
        <v>0.25</v>
      </c>
      <c r="Z101" s="35" t="str">
        <f>+$J$101</f>
        <v>Expedición de Certificaciones de Personal</v>
      </c>
      <c r="AA101" s="61">
        <f>+W101*Y101</f>
        <v>12240000</v>
      </c>
      <c r="AB101" s="42"/>
      <c r="AC101" s="42"/>
      <c r="AD101" s="40">
        <f t="shared" si="50"/>
        <v>0</v>
      </c>
      <c r="AE101" s="40">
        <f t="shared" si="51"/>
        <v>0</v>
      </c>
      <c r="AF101" s="40">
        <f t="shared" si="52"/>
        <v>0</v>
      </c>
      <c r="AG101" s="40">
        <f t="shared" si="53"/>
        <v>0</v>
      </c>
      <c r="AH101" s="100">
        <v>0.25</v>
      </c>
      <c r="AI101" s="35" t="str">
        <f>+$J$101</f>
        <v>Expedición de Certificaciones de Personal</v>
      </c>
      <c r="AJ101" s="61">
        <v>12240000</v>
      </c>
      <c r="AK101" s="42"/>
      <c r="AL101" s="42"/>
      <c r="AM101" s="40">
        <f t="shared" si="54"/>
        <v>0</v>
      </c>
      <c r="AN101" s="40">
        <f t="shared" si="55"/>
        <v>0</v>
      </c>
      <c r="AO101" s="40">
        <f t="shared" si="56"/>
        <v>0</v>
      </c>
      <c r="AP101" s="43">
        <f t="shared" si="57"/>
        <v>0</v>
      </c>
      <c r="AQ101" s="100">
        <v>0.25</v>
      </c>
      <c r="AR101" s="35" t="str">
        <f>+$J$101</f>
        <v>Expedición de Certificaciones de Personal</v>
      </c>
      <c r="AS101" s="61">
        <v>12240000</v>
      </c>
      <c r="AT101" s="42"/>
      <c r="AU101" s="42"/>
      <c r="AV101" s="40">
        <f t="shared" si="58"/>
        <v>0</v>
      </c>
      <c r="AW101" s="40">
        <f t="shared" si="59"/>
        <v>0</v>
      </c>
      <c r="AX101" s="40">
        <f t="shared" si="60"/>
        <v>0</v>
      </c>
      <c r="AY101" s="40">
        <f t="shared" si="61"/>
        <v>0</v>
      </c>
      <c r="AZ101" s="100">
        <v>0.25</v>
      </c>
      <c r="BA101" s="35" t="str">
        <f>+$J$101</f>
        <v>Expedición de Certificaciones de Personal</v>
      </c>
      <c r="BB101" s="61">
        <v>12240000</v>
      </c>
      <c r="BC101" s="42"/>
      <c r="BD101" s="42"/>
      <c r="BE101" s="40">
        <f t="shared" si="62"/>
        <v>0</v>
      </c>
      <c r="BF101" s="40">
        <f t="shared" si="63"/>
        <v>0</v>
      </c>
      <c r="BG101" s="40">
        <f t="shared" si="64"/>
        <v>0</v>
      </c>
      <c r="BH101" s="40">
        <f t="shared" si="65"/>
        <v>0</v>
      </c>
      <c r="BI101" s="57">
        <f t="shared" si="66"/>
        <v>0</v>
      </c>
      <c r="BJ101" s="57">
        <f t="shared" si="67"/>
        <v>0</v>
      </c>
      <c r="BK101" s="57">
        <f t="shared" si="68"/>
        <v>0</v>
      </c>
      <c r="BL101" s="57">
        <f t="shared" si="69"/>
        <v>0</v>
      </c>
      <c r="BM101" s="57">
        <f t="shared" si="70"/>
        <v>0</v>
      </c>
      <c r="BN101" s="57">
        <f t="shared" si="71"/>
        <v>0</v>
      </c>
      <c r="BO101" s="57">
        <f t="shared" si="72"/>
        <v>0</v>
      </c>
      <c r="BP101" s="57">
        <f t="shared" si="73"/>
        <v>0</v>
      </c>
      <c r="BQ101" s="21"/>
    </row>
    <row r="102" spans="1:69" s="58" customFormat="1" ht="105" x14ac:dyDescent="0.25">
      <c r="A102" s="62">
        <v>11700</v>
      </c>
      <c r="B102" s="63" t="str">
        <f>+VLOOKUP(A102,'[1]TAB. REF. PA'!$A$4:$B$14,2,FALSE)</f>
        <v>Dirección Administrativa y Financiera</v>
      </c>
      <c r="C102" s="64" t="s">
        <v>328</v>
      </c>
      <c r="D102" s="63" t="s">
        <v>256</v>
      </c>
      <c r="E102" s="64" t="s">
        <v>422</v>
      </c>
      <c r="F102" s="63" t="s">
        <v>567</v>
      </c>
      <c r="G102" s="65" t="s">
        <v>123</v>
      </c>
      <c r="H102" s="105">
        <v>1</v>
      </c>
      <c r="I102" s="64" t="s">
        <v>423</v>
      </c>
      <c r="J102" s="69" t="s">
        <v>424</v>
      </c>
      <c r="K102" s="67">
        <f>+VLOOKUP(I102,'[1]Plan Adquisiciones'!$Z$5:$AC$47,4,FALSE)</f>
        <v>60000000</v>
      </c>
      <c r="L102" s="75">
        <v>1</v>
      </c>
      <c r="M102" s="69" t="s">
        <v>48</v>
      </c>
      <c r="N102" s="69" t="s">
        <v>68</v>
      </c>
      <c r="O102" s="69" t="s">
        <v>37</v>
      </c>
      <c r="P102" s="69" t="s">
        <v>38</v>
      </c>
      <c r="Q102" s="69" t="s">
        <v>229</v>
      </c>
      <c r="R102" s="70"/>
      <c r="S102" s="106" t="s">
        <v>670</v>
      </c>
      <c r="T102" s="69" t="s">
        <v>99</v>
      </c>
      <c r="U102" s="99">
        <v>1</v>
      </c>
      <c r="V102" s="63" t="str">
        <f>+$J$102</f>
        <v>Publicación Actos Administrativos Diario Oficial</v>
      </c>
      <c r="W102" s="77">
        <f t="shared" si="74"/>
        <v>60000000</v>
      </c>
      <c r="X102" s="62" t="s">
        <v>114</v>
      </c>
      <c r="Y102" s="65">
        <v>0</v>
      </c>
      <c r="Z102" s="63" t="str">
        <f>+V102</f>
        <v>Publicación Actos Administrativos Diario Oficial</v>
      </c>
      <c r="AA102" s="77">
        <v>0</v>
      </c>
      <c r="AB102" s="70"/>
      <c r="AC102" s="70"/>
      <c r="AD102" s="68" t="e">
        <f>+(AB102/Y102)</f>
        <v>#DIV/0!</v>
      </c>
      <c r="AE102" s="68" t="e">
        <f t="shared" si="51"/>
        <v>#DIV/0!</v>
      </c>
      <c r="AF102" s="68">
        <f t="shared" si="52"/>
        <v>0</v>
      </c>
      <c r="AG102" s="68">
        <f t="shared" si="53"/>
        <v>0</v>
      </c>
      <c r="AH102" s="107">
        <v>0.5</v>
      </c>
      <c r="AI102" s="63" t="str">
        <f>+V102</f>
        <v>Publicación Actos Administrativos Diario Oficial</v>
      </c>
      <c r="AJ102" s="77">
        <v>30000000</v>
      </c>
      <c r="AK102" s="70"/>
      <c r="AL102" s="70"/>
      <c r="AM102" s="68">
        <f t="shared" si="54"/>
        <v>0</v>
      </c>
      <c r="AN102" s="68">
        <f t="shared" si="55"/>
        <v>0</v>
      </c>
      <c r="AO102" s="68">
        <f t="shared" si="56"/>
        <v>0</v>
      </c>
      <c r="AP102" s="71">
        <f t="shared" si="57"/>
        <v>0</v>
      </c>
      <c r="AQ102" s="107"/>
      <c r="AR102" s="63" t="str">
        <f>+V102</f>
        <v>Publicación Actos Administrativos Diario Oficial</v>
      </c>
      <c r="AS102" s="77">
        <v>0</v>
      </c>
      <c r="AT102" s="70"/>
      <c r="AU102" s="70"/>
      <c r="AV102" s="68" t="e">
        <f t="shared" si="58"/>
        <v>#DIV/0!</v>
      </c>
      <c r="AW102" s="68" t="e">
        <f t="shared" si="59"/>
        <v>#DIV/0!</v>
      </c>
      <c r="AX102" s="68">
        <f t="shared" si="60"/>
        <v>0</v>
      </c>
      <c r="AY102" s="68">
        <f t="shared" si="61"/>
        <v>0</v>
      </c>
      <c r="AZ102" s="107">
        <v>0.5</v>
      </c>
      <c r="BA102" s="63" t="str">
        <f>+V102</f>
        <v>Publicación Actos Administrativos Diario Oficial</v>
      </c>
      <c r="BB102" s="77">
        <v>30000000</v>
      </c>
      <c r="BC102" s="70"/>
      <c r="BD102" s="70"/>
      <c r="BE102" s="68">
        <f t="shared" si="62"/>
        <v>0</v>
      </c>
      <c r="BF102" s="68">
        <f t="shared" si="63"/>
        <v>0</v>
      </c>
      <c r="BG102" s="68">
        <f t="shared" si="64"/>
        <v>0</v>
      </c>
      <c r="BH102" s="68">
        <f t="shared" si="65"/>
        <v>0</v>
      </c>
      <c r="BI102" s="57" t="str">
        <f t="shared" si="66"/>
        <v>No Prog ni Ejec</v>
      </c>
      <c r="BJ102" s="57" t="str">
        <f t="shared" si="67"/>
        <v>No Prog ni Ejec</v>
      </c>
      <c r="BK102" s="57">
        <f t="shared" si="68"/>
        <v>0</v>
      </c>
      <c r="BL102" s="57">
        <f t="shared" si="69"/>
        <v>0</v>
      </c>
      <c r="BM102" s="57" t="str">
        <f t="shared" si="70"/>
        <v>No Prog ni Ejec</v>
      </c>
      <c r="BN102" s="57" t="str">
        <f t="shared" si="71"/>
        <v>No Prog ni Ejec</v>
      </c>
      <c r="BO102" s="57">
        <f t="shared" si="72"/>
        <v>0</v>
      </c>
      <c r="BP102" s="57">
        <f t="shared" si="73"/>
        <v>0</v>
      </c>
      <c r="BQ102" s="21"/>
    </row>
    <row r="103" spans="1:69" s="58" customFormat="1" ht="105" x14ac:dyDescent="0.25">
      <c r="A103" s="62">
        <v>11700</v>
      </c>
      <c r="B103" s="63" t="str">
        <f>+VLOOKUP(A103,'[1]TAB. REF. PA'!$A$4:$B$14,2,FALSE)</f>
        <v>Dirección Administrativa y Financiera</v>
      </c>
      <c r="C103" s="64" t="s">
        <v>328</v>
      </c>
      <c r="D103" s="63" t="s">
        <v>256</v>
      </c>
      <c r="E103" s="64" t="s">
        <v>425</v>
      </c>
      <c r="F103" s="63" t="s">
        <v>426</v>
      </c>
      <c r="G103" s="65" t="s">
        <v>123</v>
      </c>
      <c r="H103" s="98">
        <v>1</v>
      </c>
      <c r="I103" s="64" t="s">
        <v>427</v>
      </c>
      <c r="J103" s="69" t="s">
        <v>428</v>
      </c>
      <c r="K103" s="67">
        <f>2468609473+361433212.8</f>
        <v>2830042685.8000002</v>
      </c>
      <c r="L103" s="75">
        <v>1</v>
      </c>
      <c r="M103" s="69" t="s">
        <v>51</v>
      </c>
      <c r="N103" s="69" t="s">
        <v>56</v>
      </c>
      <c r="O103" s="69" t="s">
        <v>37</v>
      </c>
      <c r="P103" s="69" t="s">
        <v>41</v>
      </c>
      <c r="Q103" s="69" t="s">
        <v>222</v>
      </c>
      <c r="R103" s="70"/>
      <c r="S103" s="69" t="s">
        <v>379</v>
      </c>
      <c r="T103" s="69" t="s">
        <v>99</v>
      </c>
      <c r="U103" s="75">
        <v>1</v>
      </c>
      <c r="V103" s="63" t="str">
        <f>+J103</f>
        <v>Funcionamiento continuo de las instalaciones de la ADRES</v>
      </c>
      <c r="W103" s="77">
        <f t="shared" si="74"/>
        <v>2830042685.8000002</v>
      </c>
      <c r="X103" s="62" t="s">
        <v>114</v>
      </c>
      <c r="Y103" s="75">
        <v>0.2</v>
      </c>
      <c r="Z103" s="63" t="str">
        <f>+J103</f>
        <v>Funcionamiento continuo de las instalaciones de la ADRES</v>
      </c>
      <c r="AA103" s="77">
        <f>154899948.342857+240000</f>
        <v>155139948.342857</v>
      </c>
      <c r="AB103" s="70"/>
      <c r="AC103" s="70"/>
      <c r="AD103" s="68">
        <f t="shared" ref="AD103" si="75">+(AB103/Y103)</f>
        <v>0</v>
      </c>
      <c r="AE103" s="68">
        <f t="shared" si="51"/>
        <v>0</v>
      </c>
      <c r="AF103" s="68">
        <f t="shared" si="52"/>
        <v>0</v>
      </c>
      <c r="AG103" s="68">
        <f t="shared" si="53"/>
        <v>0</v>
      </c>
      <c r="AH103" s="75">
        <v>0.2</v>
      </c>
      <c r="AI103" s="63" t="str">
        <f>+V103</f>
        <v>Funcionamiento continuo de las instalaciones de la ADRES</v>
      </c>
      <c r="AJ103" s="77">
        <f>154899948.342857+40000</f>
        <v>154939948.342857</v>
      </c>
      <c r="AK103" s="70"/>
      <c r="AL103" s="70"/>
      <c r="AM103" s="68">
        <f t="shared" si="54"/>
        <v>0</v>
      </c>
      <c r="AN103" s="68">
        <f t="shared" si="55"/>
        <v>0</v>
      </c>
      <c r="AO103" s="68">
        <f t="shared" si="56"/>
        <v>0</v>
      </c>
      <c r="AP103" s="71">
        <f t="shared" si="57"/>
        <v>0</v>
      </c>
      <c r="AQ103" s="75">
        <v>0.3</v>
      </c>
      <c r="AR103" s="63" t="str">
        <f>+V103</f>
        <v>Funcionamiento continuo de las instalaciones de la ADRES</v>
      </c>
      <c r="AS103" s="77">
        <f>51633316.1142857+758018677</f>
        <v>809651993.11428571</v>
      </c>
      <c r="AT103" s="70"/>
      <c r="AU103" s="70"/>
      <c r="AV103" s="68">
        <f t="shared" si="58"/>
        <v>0</v>
      </c>
      <c r="AW103" s="68">
        <f t="shared" si="59"/>
        <v>0</v>
      </c>
      <c r="AX103" s="68">
        <f t="shared" si="60"/>
        <v>0</v>
      </c>
      <c r="AY103" s="68">
        <f t="shared" si="61"/>
        <v>0</v>
      </c>
      <c r="AZ103" s="75">
        <v>0.3</v>
      </c>
      <c r="BA103" s="63" t="str">
        <f>+AI103</f>
        <v>Funcionamiento continuo de las instalaciones de la ADRES</v>
      </c>
      <c r="BB103" s="77">
        <v>1710310796</v>
      </c>
      <c r="BC103" s="70"/>
      <c r="BD103" s="70"/>
      <c r="BE103" s="68">
        <f t="shared" si="62"/>
        <v>0</v>
      </c>
      <c r="BF103" s="68">
        <f t="shared" si="63"/>
        <v>0</v>
      </c>
      <c r="BG103" s="68">
        <f t="shared" si="64"/>
        <v>0</v>
      </c>
      <c r="BH103" s="68">
        <f t="shared" si="65"/>
        <v>0</v>
      </c>
      <c r="BI103" s="57">
        <f t="shared" si="66"/>
        <v>0</v>
      </c>
      <c r="BJ103" s="57">
        <f t="shared" si="67"/>
        <v>0</v>
      </c>
      <c r="BK103" s="57">
        <f t="shared" si="68"/>
        <v>0</v>
      </c>
      <c r="BL103" s="57">
        <f t="shared" si="69"/>
        <v>0</v>
      </c>
      <c r="BM103" s="57">
        <f t="shared" si="70"/>
        <v>0</v>
      </c>
      <c r="BN103" s="57">
        <f t="shared" si="71"/>
        <v>0</v>
      </c>
      <c r="BO103" s="57">
        <f t="shared" si="72"/>
        <v>0</v>
      </c>
      <c r="BP103" s="57">
        <f t="shared" si="73"/>
        <v>0</v>
      </c>
      <c r="BQ103" s="21"/>
    </row>
    <row r="104" spans="1:69" s="58" customFormat="1" ht="105" x14ac:dyDescent="0.25">
      <c r="A104" s="34">
        <v>11700</v>
      </c>
      <c r="B104" s="35" t="str">
        <f>+VLOOKUP(A104,'[1]TAB. REF. PA'!$A$4:$B$14,2,FALSE)</f>
        <v>Dirección Administrativa y Financiera</v>
      </c>
      <c r="C104" s="36" t="s">
        <v>328</v>
      </c>
      <c r="D104" s="35" t="s">
        <v>256</v>
      </c>
      <c r="E104" s="36" t="s">
        <v>429</v>
      </c>
      <c r="F104" s="35" t="s">
        <v>430</v>
      </c>
      <c r="G104" s="37" t="s">
        <v>123</v>
      </c>
      <c r="H104" s="50">
        <v>1</v>
      </c>
      <c r="I104" s="36" t="s">
        <v>457</v>
      </c>
      <c r="J104" s="35" t="s">
        <v>572</v>
      </c>
      <c r="K104" s="39">
        <f>150000000+420000000+100000000</f>
        <v>670000000</v>
      </c>
      <c r="L104" s="47">
        <v>1</v>
      </c>
      <c r="M104" s="41" t="s">
        <v>51</v>
      </c>
      <c r="N104" s="41" t="s">
        <v>56</v>
      </c>
      <c r="O104" s="41" t="s">
        <v>37</v>
      </c>
      <c r="P104" s="41" t="s">
        <v>41</v>
      </c>
      <c r="Q104" s="41" t="s">
        <v>222</v>
      </c>
      <c r="R104" s="42"/>
      <c r="S104" s="103" t="s">
        <v>657</v>
      </c>
      <c r="T104" s="41" t="s">
        <v>99</v>
      </c>
      <c r="U104" s="100">
        <v>1</v>
      </c>
      <c r="V104" s="35" t="str">
        <f>+$J$104</f>
        <v xml:space="preserve">Suministro de Tiquetes Aéreos y Viaticos </v>
      </c>
      <c r="W104" s="61">
        <f t="shared" si="74"/>
        <v>670000000</v>
      </c>
      <c r="X104" s="34" t="s">
        <v>114</v>
      </c>
      <c r="Y104" s="55">
        <f>+AA104/W104</f>
        <v>0.26865671641791045</v>
      </c>
      <c r="Z104" s="35" t="str">
        <f>+$J$104</f>
        <v xml:space="preserve">Suministro de Tiquetes Aéreos y Viaticos </v>
      </c>
      <c r="AA104" s="61">
        <v>180000000</v>
      </c>
      <c r="AB104" s="42"/>
      <c r="AC104" s="42"/>
      <c r="AD104" s="40">
        <f t="shared" si="50"/>
        <v>0</v>
      </c>
      <c r="AE104" s="40">
        <f t="shared" si="51"/>
        <v>0</v>
      </c>
      <c r="AF104" s="40">
        <f t="shared" si="52"/>
        <v>0</v>
      </c>
      <c r="AG104" s="40">
        <f t="shared" si="53"/>
        <v>0</v>
      </c>
      <c r="AH104" s="100">
        <f>+AJ104/W104</f>
        <v>0.34328358208955223</v>
      </c>
      <c r="AI104" s="35" t="str">
        <f>+$J$104</f>
        <v xml:space="preserve">Suministro de Tiquetes Aéreos y Viaticos </v>
      </c>
      <c r="AJ104" s="61">
        <f>180000000+50000000</f>
        <v>230000000</v>
      </c>
      <c r="AK104" s="42"/>
      <c r="AL104" s="42"/>
      <c r="AM104" s="40">
        <f t="shared" si="54"/>
        <v>0</v>
      </c>
      <c r="AN104" s="40">
        <f t="shared" si="55"/>
        <v>0</v>
      </c>
      <c r="AO104" s="40">
        <f t="shared" si="56"/>
        <v>0</v>
      </c>
      <c r="AP104" s="43">
        <f t="shared" si="57"/>
        <v>0</v>
      </c>
      <c r="AQ104" s="55">
        <f>+AS104/K104</f>
        <v>0.17910447761194029</v>
      </c>
      <c r="AR104" s="35" t="str">
        <f>+$J$104</f>
        <v xml:space="preserve">Suministro de Tiquetes Aéreos y Viaticos </v>
      </c>
      <c r="AS104" s="61">
        <v>120000000</v>
      </c>
      <c r="AT104" s="42"/>
      <c r="AU104" s="42"/>
      <c r="AV104" s="40">
        <f t="shared" si="58"/>
        <v>0</v>
      </c>
      <c r="AW104" s="40">
        <f t="shared" si="59"/>
        <v>0</v>
      </c>
      <c r="AX104" s="40">
        <f t="shared" si="60"/>
        <v>0</v>
      </c>
      <c r="AY104" s="40">
        <f t="shared" si="61"/>
        <v>0</v>
      </c>
      <c r="AZ104" s="55">
        <f>+BB104/K104</f>
        <v>0.28358208955223879</v>
      </c>
      <c r="BA104" s="35" t="str">
        <f>+$J$104</f>
        <v xml:space="preserve">Suministro de Tiquetes Aéreos y Viaticos </v>
      </c>
      <c r="BB104" s="61">
        <f>90000000+100000000</f>
        <v>190000000</v>
      </c>
      <c r="BC104" s="42"/>
      <c r="BD104" s="42"/>
      <c r="BE104" s="40">
        <f t="shared" si="62"/>
        <v>0</v>
      </c>
      <c r="BF104" s="40">
        <f t="shared" si="63"/>
        <v>0</v>
      </c>
      <c r="BG104" s="40">
        <f t="shared" si="64"/>
        <v>0</v>
      </c>
      <c r="BH104" s="40">
        <f t="shared" si="65"/>
        <v>0</v>
      </c>
      <c r="BI104" s="57">
        <f t="shared" si="66"/>
        <v>0</v>
      </c>
      <c r="BJ104" s="57">
        <f t="shared" si="67"/>
        <v>0</v>
      </c>
      <c r="BK104" s="57">
        <f t="shared" si="68"/>
        <v>0</v>
      </c>
      <c r="BL104" s="57">
        <f t="shared" si="69"/>
        <v>0</v>
      </c>
      <c r="BM104" s="57">
        <f t="shared" si="70"/>
        <v>0</v>
      </c>
      <c r="BN104" s="57">
        <f t="shared" si="71"/>
        <v>0</v>
      </c>
      <c r="BO104" s="57">
        <f t="shared" si="72"/>
        <v>0</v>
      </c>
      <c r="BP104" s="57">
        <f t="shared" si="73"/>
        <v>0</v>
      </c>
      <c r="BQ104" s="21"/>
    </row>
    <row r="105" spans="1:69" s="58" customFormat="1" ht="105" x14ac:dyDescent="0.25">
      <c r="A105" s="80">
        <v>11700</v>
      </c>
      <c r="B105" s="79" t="s">
        <v>29</v>
      </c>
      <c r="C105" s="80" t="s">
        <v>328</v>
      </c>
      <c r="D105" s="79" t="s">
        <v>256</v>
      </c>
      <c r="E105" s="80" t="s">
        <v>431</v>
      </c>
      <c r="F105" s="79" t="s">
        <v>433</v>
      </c>
      <c r="G105" s="80" t="s">
        <v>123</v>
      </c>
      <c r="H105" s="88">
        <v>1</v>
      </c>
      <c r="I105" s="80" t="s">
        <v>432</v>
      </c>
      <c r="J105" s="81" t="s">
        <v>434</v>
      </c>
      <c r="K105" s="82">
        <f>672800008+497391434</f>
        <v>1170191442</v>
      </c>
      <c r="L105" s="88">
        <v>1</v>
      </c>
      <c r="M105" s="84" t="s">
        <v>46</v>
      </c>
      <c r="N105" s="84" t="s">
        <v>59</v>
      </c>
      <c r="O105" s="84" t="s">
        <v>37</v>
      </c>
      <c r="P105" s="84" t="s">
        <v>40</v>
      </c>
      <c r="Q105" s="84" t="s">
        <v>221</v>
      </c>
      <c r="R105" s="85"/>
      <c r="S105" s="89" t="s">
        <v>643</v>
      </c>
      <c r="T105" s="84" t="s">
        <v>99</v>
      </c>
      <c r="U105" s="90">
        <v>1</v>
      </c>
      <c r="V105" s="79" t="s">
        <v>434</v>
      </c>
      <c r="W105" s="86">
        <f>K105</f>
        <v>1170191442</v>
      </c>
      <c r="X105" s="78" t="s">
        <v>114</v>
      </c>
      <c r="Y105" s="88">
        <v>0.25</v>
      </c>
      <c r="Z105" s="79" t="s">
        <v>434</v>
      </c>
      <c r="AA105" s="86">
        <f>K105/4</f>
        <v>292547860.5</v>
      </c>
      <c r="AB105" s="91"/>
      <c r="AC105" s="85"/>
      <c r="AD105" s="83">
        <f>+(AB105/Y105)</f>
        <v>0</v>
      </c>
      <c r="AE105" s="83">
        <f>+(AC105/AA105)</f>
        <v>0</v>
      </c>
      <c r="AF105" s="83">
        <f>+(AB105/U105)</f>
        <v>0</v>
      </c>
      <c r="AG105" s="83">
        <f>+(AC105/W105)</f>
        <v>0</v>
      </c>
      <c r="AH105" s="88">
        <v>0.25</v>
      </c>
      <c r="AI105" s="79" t="s">
        <v>434</v>
      </c>
      <c r="AJ105" s="86">
        <f>AA105</f>
        <v>292547860.5</v>
      </c>
      <c r="AK105" s="85"/>
      <c r="AL105" s="85"/>
      <c r="AM105" s="83">
        <v>0</v>
      </c>
      <c r="AN105" s="83">
        <v>0</v>
      </c>
      <c r="AO105" s="83">
        <v>0</v>
      </c>
      <c r="AP105" s="87">
        <v>0</v>
      </c>
      <c r="AQ105" s="88">
        <v>0.25</v>
      </c>
      <c r="AR105" s="79" t="s">
        <v>434</v>
      </c>
      <c r="AS105" s="86">
        <f>AJ105</f>
        <v>292547860.5</v>
      </c>
      <c r="AT105" s="85"/>
      <c r="AU105" s="85"/>
      <c r="AV105" s="83">
        <v>0</v>
      </c>
      <c r="AW105" s="83">
        <v>0</v>
      </c>
      <c r="AX105" s="83">
        <v>0</v>
      </c>
      <c r="AY105" s="83">
        <v>0</v>
      </c>
      <c r="AZ105" s="88">
        <v>0.25</v>
      </c>
      <c r="BA105" s="79" t="s">
        <v>434</v>
      </c>
      <c r="BB105" s="86">
        <f>AS105</f>
        <v>292547860.5</v>
      </c>
      <c r="BC105" s="85"/>
      <c r="BD105" s="85"/>
      <c r="BE105" s="83">
        <v>0</v>
      </c>
      <c r="BF105" s="83">
        <v>0</v>
      </c>
      <c r="BG105" s="83">
        <v>0</v>
      </c>
      <c r="BH105" s="83">
        <v>0</v>
      </c>
      <c r="BI105" s="57">
        <f t="shared" si="66"/>
        <v>0</v>
      </c>
      <c r="BJ105" s="57">
        <f t="shared" si="67"/>
        <v>0</v>
      </c>
      <c r="BK105" s="57">
        <f t="shared" si="68"/>
        <v>0</v>
      </c>
      <c r="BL105" s="57">
        <f t="shared" si="69"/>
        <v>0</v>
      </c>
      <c r="BM105" s="57">
        <f t="shared" si="70"/>
        <v>0</v>
      </c>
      <c r="BN105" s="57">
        <f t="shared" si="71"/>
        <v>0</v>
      </c>
      <c r="BO105" s="57">
        <f t="shared" si="72"/>
        <v>0</v>
      </c>
      <c r="BP105" s="57">
        <f t="shared" si="73"/>
        <v>0</v>
      </c>
      <c r="BQ105" s="21"/>
    </row>
    <row r="106" spans="1:69" s="58" customFormat="1" ht="105" x14ac:dyDescent="0.25">
      <c r="A106" s="80">
        <v>11700</v>
      </c>
      <c r="B106" s="79" t="str">
        <f>+VLOOKUP(A106,'[3]TAB. REF. PA'!$A$4:$B$14,2,FALSE)</f>
        <v>Dirección Administrativa y Financiera</v>
      </c>
      <c r="C106" s="80" t="s">
        <v>328</v>
      </c>
      <c r="D106" s="79" t="s">
        <v>256</v>
      </c>
      <c r="E106" s="80" t="s">
        <v>644</v>
      </c>
      <c r="F106" s="79" t="s">
        <v>652</v>
      </c>
      <c r="G106" s="80" t="s">
        <v>123</v>
      </c>
      <c r="H106" s="88">
        <v>1</v>
      </c>
      <c r="I106" s="80" t="s">
        <v>645</v>
      </c>
      <c r="J106" s="81" t="s">
        <v>653</v>
      </c>
      <c r="K106" s="82">
        <v>528778988</v>
      </c>
      <c r="L106" s="88">
        <v>1</v>
      </c>
      <c r="M106" s="84" t="s">
        <v>46</v>
      </c>
      <c r="N106" s="84" t="s">
        <v>59</v>
      </c>
      <c r="O106" s="84" t="s">
        <v>37</v>
      </c>
      <c r="P106" s="84" t="s">
        <v>40</v>
      </c>
      <c r="Q106" s="84" t="s">
        <v>220</v>
      </c>
      <c r="R106" s="85"/>
      <c r="S106" s="89" t="s">
        <v>654</v>
      </c>
      <c r="T106" s="84" t="s">
        <v>101</v>
      </c>
      <c r="U106" s="90">
        <v>1</v>
      </c>
      <c r="V106" s="79" t="str">
        <f>+$J$99</f>
        <v>Generar y Liquidar Nomina ADRES</v>
      </c>
      <c r="W106" s="86">
        <v>528778988</v>
      </c>
      <c r="X106" s="78" t="s">
        <v>114</v>
      </c>
      <c r="Y106" s="90">
        <v>0.25</v>
      </c>
      <c r="Z106" s="79" t="str">
        <f>+$J$99</f>
        <v>Generar y Liquidar Nomina ADRES</v>
      </c>
      <c r="AA106" s="86">
        <v>112500000</v>
      </c>
      <c r="AB106" s="92"/>
      <c r="AC106" s="85"/>
      <c r="AD106" s="83">
        <f>+(AB106/Y106)</f>
        <v>0</v>
      </c>
      <c r="AE106" s="83">
        <f t="shared" ref="AE106:AE107" si="76">+(AC106/AA106)</f>
        <v>0</v>
      </c>
      <c r="AF106" s="83">
        <f t="shared" ref="AF106:AF107" si="77">+(AB106/U106)</f>
        <v>0</v>
      </c>
      <c r="AG106" s="83">
        <f t="shared" ref="AG106" si="78">+(AC106/W106)</f>
        <v>0</v>
      </c>
      <c r="AH106" s="90">
        <v>0.25</v>
      </c>
      <c r="AI106" s="79" t="str">
        <f>+$J$99</f>
        <v>Generar y Liquidar Nomina ADRES</v>
      </c>
      <c r="AJ106" s="86">
        <v>112500000</v>
      </c>
      <c r="AK106" s="85"/>
      <c r="AL106" s="85"/>
      <c r="AM106" s="83">
        <f t="shared" ref="AM106:AM107" si="79">+(AK106/AH106)</f>
        <v>0</v>
      </c>
      <c r="AN106" s="83">
        <f t="shared" ref="AN106:AN107" si="80">+(AL106/AJ106)</f>
        <v>0</v>
      </c>
      <c r="AO106" s="83">
        <f t="shared" ref="AO106:AO107" si="81">+(AK106+AB106)/U106</f>
        <v>0</v>
      </c>
      <c r="AP106" s="87">
        <f t="shared" ref="AP106" si="82">+(AL106+AC106)/W106</f>
        <v>0</v>
      </c>
      <c r="AQ106" s="93">
        <v>0.25</v>
      </c>
      <c r="AR106" s="79" t="str">
        <f>+$J$99</f>
        <v>Generar y Liquidar Nomina ADRES</v>
      </c>
      <c r="AS106" s="86">
        <v>166511595</v>
      </c>
      <c r="AT106" s="85"/>
      <c r="AU106" s="92"/>
      <c r="AV106" s="83">
        <f t="shared" ref="AV106:AV107" si="83">+(AT106/AQ106)</f>
        <v>0</v>
      </c>
      <c r="AW106" s="83">
        <f t="shared" ref="AW106:AW107" si="84">+(AU106/AS106)</f>
        <v>0</v>
      </c>
      <c r="AX106" s="83">
        <f t="shared" ref="AX106:AX107" si="85">+(AK106+AB106+AT106)/U106</f>
        <v>0</v>
      </c>
      <c r="AY106" s="83">
        <f t="shared" ref="AY106" si="86">+(AL106+AC106+AU106)/W106</f>
        <v>0</v>
      </c>
      <c r="AZ106" s="90">
        <v>0.25</v>
      </c>
      <c r="BA106" s="79" t="str">
        <f>+$J$99</f>
        <v>Generar y Liquidar Nomina ADRES</v>
      </c>
      <c r="BB106" s="86">
        <v>137267392.5</v>
      </c>
      <c r="BC106" s="85"/>
      <c r="BD106" s="94"/>
      <c r="BE106" s="83">
        <f t="shared" ref="BE106:BE107" si="87">+(BC106/AZ106)</f>
        <v>0</v>
      </c>
      <c r="BF106" s="83">
        <f t="shared" ref="BF106:BF107" si="88">+(BD106/BB106)</f>
        <v>0</v>
      </c>
      <c r="BG106" s="83">
        <f t="shared" ref="BG106:BG107" si="89">+(AK106+AB106+AT106+BC106)/U106</f>
        <v>0</v>
      </c>
      <c r="BH106" s="83">
        <f t="shared" ref="BH106" si="90">+(AL106+AC106+AU106+BD106)/W106</f>
        <v>0</v>
      </c>
      <c r="BI106" s="57">
        <f t="shared" si="66"/>
        <v>0</v>
      </c>
      <c r="BJ106" s="57">
        <f t="shared" si="67"/>
        <v>0</v>
      </c>
      <c r="BK106" s="57">
        <f t="shared" si="68"/>
        <v>0</v>
      </c>
      <c r="BL106" s="57">
        <f t="shared" si="69"/>
        <v>0</v>
      </c>
      <c r="BM106" s="57">
        <f t="shared" si="70"/>
        <v>0</v>
      </c>
      <c r="BN106" s="57">
        <f t="shared" si="71"/>
        <v>0</v>
      </c>
      <c r="BO106" s="57">
        <f t="shared" si="72"/>
        <v>0</v>
      </c>
      <c r="BP106" s="57">
        <f t="shared" si="73"/>
        <v>0</v>
      </c>
      <c r="BQ106" s="21"/>
    </row>
    <row r="107" spans="1:69" s="58" customFormat="1" ht="255" x14ac:dyDescent="0.25">
      <c r="A107" s="80">
        <v>11700</v>
      </c>
      <c r="B107" s="79" t="str">
        <f>+VLOOKUP(A107,'[3]TAB. REF. PA'!$A$4:$B$14,2,FALSE)</f>
        <v>Dirección Administrativa y Financiera</v>
      </c>
      <c r="C107" s="80" t="s">
        <v>328</v>
      </c>
      <c r="D107" s="79" t="s">
        <v>256</v>
      </c>
      <c r="E107" s="80" t="s">
        <v>650</v>
      </c>
      <c r="F107" s="79" t="s">
        <v>655</v>
      </c>
      <c r="G107" s="80" t="s">
        <v>123</v>
      </c>
      <c r="H107" s="88">
        <v>1</v>
      </c>
      <c r="I107" s="80" t="s">
        <v>651</v>
      </c>
      <c r="J107" s="81" t="s">
        <v>656</v>
      </c>
      <c r="K107" s="82">
        <v>48960000</v>
      </c>
      <c r="L107" s="88">
        <v>1</v>
      </c>
      <c r="M107" s="84" t="s">
        <v>46</v>
      </c>
      <c r="N107" s="84" t="s">
        <v>59</v>
      </c>
      <c r="O107" s="84" t="s">
        <v>37</v>
      </c>
      <c r="P107" s="84" t="s">
        <v>40</v>
      </c>
      <c r="Q107" s="84" t="s">
        <v>220</v>
      </c>
      <c r="R107" s="85"/>
      <c r="S107" s="89" t="s">
        <v>379</v>
      </c>
      <c r="T107" s="84" t="s">
        <v>101</v>
      </c>
      <c r="U107" s="90">
        <v>1</v>
      </c>
      <c r="V107" s="81" t="s">
        <v>656</v>
      </c>
      <c r="W107" s="86">
        <f t="shared" ref="W107" si="91">+K107</f>
        <v>48960000</v>
      </c>
      <c r="X107" s="78" t="s">
        <v>114</v>
      </c>
      <c r="Y107" s="90">
        <v>0.25</v>
      </c>
      <c r="Z107" s="81" t="s">
        <v>656</v>
      </c>
      <c r="AA107" s="86">
        <v>12240000</v>
      </c>
      <c r="AB107" s="94"/>
      <c r="AC107" s="96"/>
      <c r="AD107" s="83">
        <f>+(AB107/Y107)</f>
        <v>0</v>
      </c>
      <c r="AE107" s="83">
        <f t="shared" si="76"/>
        <v>0</v>
      </c>
      <c r="AF107" s="83">
        <f t="shared" si="77"/>
        <v>0</v>
      </c>
      <c r="AG107" s="83">
        <f>+(AC107/W107)</f>
        <v>0</v>
      </c>
      <c r="AH107" s="93">
        <v>0.25</v>
      </c>
      <c r="AI107" s="81" t="s">
        <v>656</v>
      </c>
      <c r="AJ107" s="86">
        <v>12240000</v>
      </c>
      <c r="AK107" s="85"/>
      <c r="AL107" s="85"/>
      <c r="AM107" s="83">
        <f t="shared" si="79"/>
        <v>0</v>
      </c>
      <c r="AN107" s="83">
        <f t="shared" si="80"/>
        <v>0</v>
      </c>
      <c r="AO107" s="83">
        <f t="shared" si="81"/>
        <v>0</v>
      </c>
      <c r="AP107" s="97">
        <f>+(AL107+AC107)/W107</f>
        <v>0</v>
      </c>
      <c r="AQ107" s="93">
        <v>0.25</v>
      </c>
      <c r="AR107" s="81" t="s">
        <v>656</v>
      </c>
      <c r="AS107" s="86">
        <v>12240000</v>
      </c>
      <c r="AT107" s="85"/>
      <c r="AU107" s="85"/>
      <c r="AV107" s="83">
        <f t="shared" si="83"/>
        <v>0</v>
      </c>
      <c r="AW107" s="83">
        <f t="shared" si="84"/>
        <v>0</v>
      </c>
      <c r="AX107" s="83">
        <f t="shared" si="85"/>
        <v>0</v>
      </c>
      <c r="AY107" s="83">
        <f>+(AL107+AC107)/W107</f>
        <v>0</v>
      </c>
      <c r="AZ107" s="93">
        <v>0.25</v>
      </c>
      <c r="BA107" s="81" t="s">
        <v>656</v>
      </c>
      <c r="BB107" s="86">
        <v>12240000</v>
      </c>
      <c r="BC107" s="85"/>
      <c r="BD107" s="85"/>
      <c r="BE107" s="83">
        <f t="shared" si="87"/>
        <v>0</v>
      </c>
      <c r="BF107" s="83">
        <f t="shared" si="88"/>
        <v>0</v>
      </c>
      <c r="BG107" s="83">
        <f t="shared" si="89"/>
        <v>0</v>
      </c>
      <c r="BH107" s="83">
        <f>+(AL107+AA107+AU107+BD107)/W107</f>
        <v>0.25</v>
      </c>
      <c r="BI107" s="57">
        <f t="shared" si="66"/>
        <v>0</v>
      </c>
      <c r="BJ107" s="57">
        <f t="shared" si="67"/>
        <v>0</v>
      </c>
      <c r="BK107" s="57">
        <f t="shared" si="68"/>
        <v>0</v>
      </c>
      <c r="BL107" s="57">
        <f t="shared" si="69"/>
        <v>0</v>
      </c>
      <c r="BM107" s="57">
        <f t="shared" si="70"/>
        <v>0</v>
      </c>
      <c r="BN107" s="57">
        <f t="shared" si="71"/>
        <v>0</v>
      </c>
      <c r="BO107" s="57">
        <f t="shared" si="72"/>
        <v>0</v>
      </c>
      <c r="BP107" s="57">
        <f t="shared" si="73"/>
        <v>0</v>
      </c>
      <c r="BQ107" s="21"/>
    </row>
    <row r="108" spans="1:69" s="58" customFormat="1" ht="105" x14ac:dyDescent="0.25">
      <c r="A108" s="80">
        <v>11700</v>
      </c>
      <c r="B108" s="79" t="str">
        <f>+VLOOKUP(A108,'[4]TAB. REF. PA'!$A$4:$B$14,2,FALSE)</f>
        <v>Dirección Administrativa y Financiera</v>
      </c>
      <c r="C108" s="80" t="s">
        <v>328</v>
      </c>
      <c r="D108" s="79" t="s">
        <v>256</v>
      </c>
      <c r="E108" s="80" t="s">
        <v>650</v>
      </c>
      <c r="F108" s="79" t="s">
        <v>646</v>
      </c>
      <c r="G108" s="80" t="s">
        <v>123</v>
      </c>
      <c r="H108" s="93">
        <v>1</v>
      </c>
      <c r="I108" s="80" t="s">
        <v>716</v>
      </c>
      <c r="J108" s="81" t="s">
        <v>647</v>
      </c>
      <c r="K108" s="82">
        <f>(10*171085321)+(2*356467822)</f>
        <v>2423788854</v>
      </c>
      <c r="L108" s="88">
        <v>1</v>
      </c>
      <c r="M108" s="84" t="s">
        <v>46</v>
      </c>
      <c r="N108" s="84" t="s">
        <v>59</v>
      </c>
      <c r="O108" s="84" t="s">
        <v>37</v>
      </c>
      <c r="P108" s="84" t="s">
        <v>40</v>
      </c>
      <c r="Q108" s="84" t="s">
        <v>221</v>
      </c>
      <c r="R108" s="85"/>
      <c r="S108" s="89" t="s">
        <v>648</v>
      </c>
      <c r="T108" s="84" t="s">
        <v>99</v>
      </c>
      <c r="U108" s="90">
        <v>1</v>
      </c>
      <c r="V108" s="79" t="s">
        <v>649</v>
      </c>
      <c r="W108" s="82">
        <f>(10*171085321)+(2*356467822)</f>
        <v>2423788854</v>
      </c>
      <c r="X108" s="78" t="s">
        <v>114</v>
      </c>
      <c r="Y108" s="88">
        <v>0.25</v>
      </c>
      <c r="Z108" s="79" t="s">
        <v>649</v>
      </c>
      <c r="AA108" s="95">
        <v>513255963</v>
      </c>
      <c r="AB108" s="91"/>
      <c r="AC108" s="85"/>
      <c r="AD108" s="83">
        <f>+(AB108/Y108)</f>
        <v>0</v>
      </c>
      <c r="AE108" s="83">
        <f>+(AC108/AA108)</f>
        <v>0</v>
      </c>
      <c r="AF108" s="83">
        <f>+(AB108/U108)</f>
        <v>0</v>
      </c>
      <c r="AG108" s="83">
        <f>+(AC108/W108)</f>
        <v>0</v>
      </c>
      <c r="AH108" s="88">
        <v>0.25</v>
      </c>
      <c r="AI108" s="79" t="s">
        <v>649</v>
      </c>
      <c r="AJ108" s="95">
        <v>884020965</v>
      </c>
      <c r="AK108" s="85"/>
      <c r="AL108" s="85"/>
      <c r="AM108" s="83">
        <v>0</v>
      </c>
      <c r="AN108" s="83">
        <v>0</v>
      </c>
      <c r="AO108" s="83">
        <v>0</v>
      </c>
      <c r="AP108" s="87">
        <v>0</v>
      </c>
      <c r="AQ108" s="88">
        <v>0.25</v>
      </c>
      <c r="AR108" s="79" t="s">
        <v>649</v>
      </c>
      <c r="AS108" s="95">
        <v>513255963</v>
      </c>
      <c r="AT108" s="85"/>
      <c r="AU108" s="85"/>
      <c r="AV108" s="83">
        <v>0</v>
      </c>
      <c r="AW108" s="83">
        <v>0</v>
      </c>
      <c r="AX108" s="83">
        <v>0</v>
      </c>
      <c r="AY108" s="83">
        <v>0</v>
      </c>
      <c r="AZ108" s="88">
        <v>0.25</v>
      </c>
      <c r="BA108" s="79" t="s">
        <v>649</v>
      </c>
      <c r="BB108" s="95">
        <v>513255963</v>
      </c>
      <c r="BC108" s="85"/>
      <c r="BD108" s="85"/>
      <c r="BE108" s="83">
        <v>0</v>
      </c>
      <c r="BF108" s="83">
        <v>0</v>
      </c>
      <c r="BG108" s="83">
        <v>0</v>
      </c>
      <c r="BH108" s="83">
        <v>0</v>
      </c>
      <c r="BI108" s="57"/>
      <c r="BJ108" s="57"/>
      <c r="BK108" s="57"/>
      <c r="BL108" s="57"/>
      <c r="BM108" s="57"/>
      <c r="BN108" s="57"/>
      <c r="BO108" s="57"/>
      <c r="BP108" s="57"/>
      <c r="BQ108" s="21"/>
    </row>
    <row r="109" spans="1:69" s="45" customFormat="1" ht="105" x14ac:dyDescent="0.25">
      <c r="A109" s="34">
        <v>11800</v>
      </c>
      <c r="B109" s="35" t="str">
        <f>+VLOOKUP(A109,'[1]TAB. REF. PA'!$A$4:$B$14,2,FALSE)</f>
        <v>Oficina de Control Interno</v>
      </c>
      <c r="C109" s="36" t="s">
        <v>319</v>
      </c>
      <c r="D109" s="35" t="s">
        <v>153</v>
      </c>
      <c r="E109" s="36" t="s">
        <v>320</v>
      </c>
      <c r="F109" s="38" t="s">
        <v>133</v>
      </c>
      <c r="G109" s="37" t="s">
        <v>124</v>
      </c>
      <c r="H109" s="36">
        <v>4</v>
      </c>
      <c r="I109" s="36" t="s">
        <v>321</v>
      </c>
      <c r="J109" s="38" t="s">
        <v>24</v>
      </c>
      <c r="K109" s="39">
        <v>0</v>
      </c>
      <c r="L109" s="40">
        <v>1</v>
      </c>
      <c r="M109" s="41" t="s">
        <v>51</v>
      </c>
      <c r="N109" s="41" t="s">
        <v>68</v>
      </c>
      <c r="O109" s="41" t="s">
        <v>21</v>
      </c>
      <c r="P109" s="41" t="s">
        <v>36</v>
      </c>
      <c r="Q109" s="41" t="s">
        <v>75</v>
      </c>
      <c r="R109" s="42"/>
      <c r="S109" s="41" t="s">
        <v>631</v>
      </c>
      <c r="T109" s="41" t="s">
        <v>98</v>
      </c>
      <c r="U109" s="51">
        <f>+H109</f>
        <v>4</v>
      </c>
      <c r="V109" s="38" t="str">
        <f>+$J$109</f>
        <v>Reportar el cumplimiento del Plan de Acción de la Dependencia</v>
      </c>
      <c r="W109" s="39">
        <v>0</v>
      </c>
      <c r="X109" s="34" t="s">
        <v>117</v>
      </c>
      <c r="Y109" s="51">
        <v>1</v>
      </c>
      <c r="Z109" s="38" t="str">
        <f>+$J$109</f>
        <v>Reportar el cumplimiento del Plan de Acción de la Dependencia</v>
      </c>
      <c r="AA109" s="39">
        <v>0</v>
      </c>
      <c r="AB109" s="42"/>
      <c r="AC109" s="42"/>
      <c r="AD109" s="40">
        <f t="shared" si="25"/>
        <v>0</v>
      </c>
      <c r="AE109" s="40" t="e">
        <f t="shared" si="26"/>
        <v>#DIV/0!</v>
      </c>
      <c r="AF109" s="40">
        <f t="shared" si="27"/>
        <v>0</v>
      </c>
      <c r="AG109" s="40" t="e">
        <f t="shared" si="28"/>
        <v>#DIV/0!</v>
      </c>
      <c r="AH109" s="51">
        <v>1</v>
      </c>
      <c r="AI109" s="38" t="str">
        <f>+$J$109</f>
        <v>Reportar el cumplimiento del Plan de Acción de la Dependencia</v>
      </c>
      <c r="AJ109" s="39">
        <v>0</v>
      </c>
      <c r="AK109" s="42"/>
      <c r="AL109" s="42"/>
      <c r="AM109" s="40">
        <f t="shared" si="29"/>
        <v>0</v>
      </c>
      <c r="AN109" s="40" t="e">
        <f t="shared" si="30"/>
        <v>#DIV/0!</v>
      </c>
      <c r="AO109" s="40">
        <f t="shared" si="31"/>
        <v>0</v>
      </c>
      <c r="AP109" s="43" t="e">
        <f t="shared" si="32"/>
        <v>#DIV/0!</v>
      </c>
      <c r="AQ109" s="51">
        <v>1</v>
      </c>
      <c r="AR109" s="38" t="str">
        <f>+$J$109</f>
        <v>Reportar el cumplimiento del Plan de Acción de la Dependencia</v>
      </c>
      <c r="AS109" s="39">
        <v>0</v>
      </c>
      <c r="AT109" s="42"/>
      <c r="AU109" s="42"/>
      <c r="AV109" s="40">
        <f t="shared" si="33"/>
        <v>0</v>
      </c>
      <c r="AW109" s="40" t="e">
        <f t="shared" si="34"/>
        <v>#DIV/0!</v>
      </c>
      <c r="AX109" s="40">
        <f t="shared" si="35"/>
        <v>0</v>
      </c>
      <c r="AY109" s="40" t="e">
        <f t="shared" si="36"/>
        <v>#DIV/0!</v>
      </c>
      <c r="AZ109" s="51">
        <v>1</v>
      </c>
      <c r="BA109" s="38" t="str">
        <f>+$J$109</f>
        <v>Reportar el cumplimiento del Plan de Acción de la Dependencia</v>
      </c>
      <c r="BB109" s="39">
        <v>0</v>
      </c>
      <c r="BC109" s="42"/>
      <c r="BD109" s="42"/>
      <c r="BE109" s="40">
        <f t="shared" si="37"/>
        <v>0</v>
      </c>
      <c r="BF109" s="40" t="e">
        <f t="shared" si="38"/>
        <v>#DIV/0!</v>
      </c>
      <c r="BG109" s="40">
        <f t="shared" si="39"/>
        <v>0</v>
      </c>
      <c r="BH109" s="40" t="e">
        <f t="shared" si="40"/>
        <v>#DIV/0!</v>
      </c>
      <c r="BI109" s="44">
        <f t="shared" si="41"/>
        <v>0</v>
      </c>
      <c r="BJ109" s="44" t="str">
        <f t="shared" si="42"/>
        <v>No Prog ni Ejec</v>
      </c>
      <c r="BK109" s="44">
        <f t="shared" si="43"/>
        <v>0</v>
      </c>
      <c r="BL109" s="44" t="str">
        <f t="shared" si="44"/>
        <v>No Prog ni Ejec</v>
      </c>
      <c r="BM109" s="44">
        <f t="shared" si="45"/>
        <v>0</v>
      </c>
      <c r="BN109" s="44" t="str">
        <f t="shared" si="46"/>
        <v>No Prog ni Ejec</v>
      </c>
      <c r="BO109" s="44">
        <f t="shared" si="47"/>
        <v>0</v>
      </c>
      <c r="BP109" s="44" t="str">
        <f t="shared" si="48"/>
        <v>No Prog ni Ejec</v>
      </c>
      <c r="BQ109" s="42"/>
    </row>
    <row r="110" spans="1:69" s="45" customFormat="1" ht="105" x14ac:dyDescent="0.25">
      <c r="A110" s="34">
        <v>11800</v>
      </c>
      <c r="B110" s="35" t="str">
        <f>+VLOOKUP(A110,'[1]TAB. REF. PA'!$A$4:$B$14,2,FALSE)</f>
        <v>Oficina de Control Interno</v>
      </c>
      <c r="C110" s="36" t="s">
        <v>322</v>
      </c>
      <c r="D110" s="35" t="s">
        <v>256</v>
      </c>
      <c r="E110" s="36" t="s">
        <v>323</v>
      </c>
      <c r="F110" s="38" t="s">
        <v>159</v>
      </c>
      <c r="G110" s="37" t="s">
        <v>123</v>
      </c>
      <c r="H110" s="46">
        <v>1</v>
      </c>
      <c r="I110" s="36" t="s">
        <v>326</v>
      </c>
      <c r="J110" s="38" t="s">
        <v>677</v>
      </c>
      <c r="K110" s="39">
        <v>0</v>
      </c>
      <c r="L110" s="40">
        <v>1</v>
      </c>
      <c r="M110" s="41" t="s">
        <v>51</v>
      </c>
      <c r="N110" s="41" t="s">
        <v>68</v>
      </c>
      <c r="O110" s="41" t="s">
        <v>21</v>
      </c>
      <c r="P110" s="41" t="s">
        <v>36</v>
      </c>
      <c r="Q110" s="41" t="s">
        <v>75</v>
      </c>
      <c r="R110" s="42"/>
      <c r="S110" s="41" t="s">
        <v>672</v>
      </c>
      <c r="T110" s="41" t="s">
        <v>98</v>
      </c>
      <c r="U110" s="40">
        <v>1</v>
      </c>
      <c r="V110" s="38" t="str">
        <f>+$J$110</f>
        <v xml:space="preserve">Formular los proceso y procedimientos en el marco del MIPG
</v>
      </c>
      <c r="W110" s="39">
        <v>0</v>
      </c>
      <c r="X110" s="34" t="s">
        <v>117</v>
      </c>
      <c r="Y110" s="40">
        <v>0.25</v>
      </c>
      <c r="Z110" s="38" t="str">
        <f>+$J$110</f>
        <v xml:space="preserve">Formular los proceso y procedimientos en el marco del MIPG
</v>
      </c>
      <c r="AA110" s="39">
        <v>0</v>
      </c>
      <c r="AB110" s="42"/>
      <c r="AC110" s="42"/>
      <c r="AD110" s="40">
        <f t="shared" si="25"/>
        <v>0</v>
      </c>
      <c r="AE110" s="40" t="e">
        <f t="shared" si="26"/>
        <v>#DIV/0!</v>
      </c>
      <c r="AF110" s="40">
        <f t="shared" si="27"/>
        <v>0</v>
      </c>
      <c r="AG110" s="40" t="e">
        <f t="shared" si="28"/>
        <v>#DIV/0!</v>
      </c>
      <c r="AH110" s="40">
        <v>0.25</v>
      </c>
      <c r="AI110" s="38" t="str">
        <f>+$J$110</f>
        <v xml:space="preserve">Formular los proceso y procedimientos en el marco del MIPG
</v>
      </c>
      <c r="AJ110" s="39">
        <v>0</v>
      </c>
      <c r="AK110" s="42"/>
      <c r="AL110" s="42"/>
      <c r="AM110" s="40">
        <f t="shared" si="29"/>
        <v>0</v>
      </c>
      <c r="AN110" s="40" t="e">
        <f t="shared" si="30"/>
        <v>#DIV/0!</v>
      </c>
      <c r="AO110" s="40">
        <f t="shared" si="31"/>
        <v>0</v>
      </c>
      <c r="AP110" s="43" t="e">
        <f t="shared" si="32"/>
        <v>#DIV/0!</v>
      </c>
      <c r="AQ110" s="40">
        <v>0.25</v>
      </c>
      <c r="AR110" s="38" t="str">
        <f>+$J$110</f>
        <v xml:space="preserve">Formular los proceso y procedimientos en el marco del MIPG
</v>
      </c>
      <c r="AS110" s="39">
        <v>0</v>
      </c>
      <c r="AT110" s="42"/>
      <c r="AU110" s="42"/>
      <c r="AV110" s="40">
        <f t="shared" si="33"/>
        <v>0</v>
      </c>
      <c r="AW110" s="40" t="e">
        <f t="shared" si="34"/>
        <v>#DIV/0!</v>
      </c>
      <c r="AX110" s="40">
        <f t="shared" si="35"/>
        <v>0</v>
      </c>
      <c r="AY110" s="40" t="e">
        <f t="shared" si="36"/>
        <v>#DIV/0!</v>
      </c>
      <c r="AZ110" s="40">
        <v>0.25</v>
      </c>
      <c r="BA110" s="38" t="str">
        <f>+$J$110</f>
        <v xml:space="preserve">Formular los proceso y procedimientos en el marco del MIPG
</v>
      </c>
      <c r="BB110" s="39">
        <v>0</v>
      </c>
      <c r="BC110" s="42"/>
      <c r="BD110" s="42"/>
      <c r="BE110" s="40">
        <f t="shared" si="37"/>
        <v>0</v>
      </c>
      <c r="BF110" s="40" t="e">
        <f t="shared" si="38"/>
        <v>#DIV/0!</v>
      </c>
      <c r="BG110" s="40">
        <f t="shared" si="39"/>
        <v>0</v>
      </c>
      <c r="BH110" s="40" t="e">
        <f t="shared" si="40"/>
        <v>#DIV/0!</v>
      </c>
      <c r="BI110" s="44">
        <f t="shared" si="41"/>
        <v>0</v>
      </c>
      <c r="BJ110" s="44" t="str">
        <f t="shared" si="42"/>
        <v>No Prog ni Ejec</v>
      </c>
      <c r="BK110" s="44">
        <f t="shared" si="43"/>
        <v>0</v>
      </c>
      <c r="BL110" s="44" t="str">
        <f t="shared" si="44"/>
        <v>No Prog ni Ejec</v>
      </c>
      <c r="BM110" s="44">
        <f t="shared" si="45"/>
        <v>0</v>
      </c>
      <c r="BN110" s="44" t="str">
        <f t="shared" si="46"/>
        <v>No Prog ni Ejec</v>
      </c>
      <c r="BO110" s="44">
        <f t="shared" si="47"/>
        <v>0</v>
      </c>
      <c r="BP110" s="44" t="str">
        <f t="shared" si="48"/>
        <v>No Prog ni Ejec</v>
      </c>
      <c r="BQ110" s="42"/>
    </row>
    <row r="111" spans="1:69" s="45" customFormat="1" ht="105" x14ac:dyDescent="0.25">
      <c r="A111" s="34">
        <v>11800</v>
      </c>
      <c r="B111" s="35" t="str">
        <f>+VLOOKUP(A111,'[1]TAB. REF. PA'!$A$4:$B$14,2,FALSE)</f>
        <v>Oficina de Control Interno</v>
      </c>
      <c r="C111" s="36" t="s">
        <v>322</v>
      </c>
      <c r="D111" s="35" t="s">
        <v>256</v>
      </c>
      <c r="E111" s="36" t="s">
        <v>325</v>
      </c>
      <c r="F111" s="38" t="s">
        <v>127</v>
      </c>
      <c r="G111" s="37" t="s">
        <v>123</v>
      </c>
      <c r="H111" s="47">
        <v>1</v>
      </c>
      <c r="I111" s="36" t="s">
        <v>327</v>
      </c>
      <c r="J111" s="38" t="s">
        <v>128</v>
      </c>
      <c r="K111" s="39">
        <v>0</v>
      </c>
      <c r="L111" s="40">
        <v>1</v>
      </c>
      <c r="M111" s="41" t="s">
        <v>51</v>
      </c>
      <c r="N111" s="41" t="s">
        <v>68</v>
      </c>
      <c r="O111" s="41" t="s">
        <v>21</v>
      </c>
      <c r="P111" s="41" t="s">
        <v>36</v>
      </c>
      <c r="Q111" s="41" t="s">
        <v>75</v>
      </c>
      <c r="R111" s="42"/>
      <c r="S111" s="41" t="s">
        <v>570</v>
      </c>
      <c r="T111" s="41" t="s">
        <v>98</v>
      </c>
      <c r="U111" s="47">
        <v>1</v>
      </c>
      <c r="V111" s="38" t="str">
        <f>+$J$111</f>
        <v>Remitir informes trimestrales de los indicadores formulados y las acciones de mejoras</v>
      </c>
      <c r="W111" s="39">
        <v>0</v>
      </c>
      <c r="X111" s="34" t="s">
        <v>117</v>
      </c>
      <c r="Y111" s="39">
        <v>0</v>
      </c>
      <c r="Z111" s="38" t="str">
        <f>+$J$111</f>
        <v>Remitir informes trimestrales de los indicadores formulados y las acciones de mejoras</v>
      </c>
      <c r="AA111" s="39">
        <v>0</v>
      </c>
      <c r="AB111" s="42"/>
      <c r="AC111" s="42"/>
      <c r="AD111" s="40" t="e">
        <f t="shared" si="25"/>
        <v>#DIV/0!</v>
      </c>
      <c r="AE111" s="40" t="e">
        <f t="shared" si="26"/>
        <v>#DIV/0!</v>
      </c>
      <c r="AF111" s="40">
        <f t="shared" si="27"/>
        <v>0</v>
      </c>
      <c r="AG111" s="40" t="e">
        <f t="shared" si="28"/>
        <v>#DIV/0!</v>
      </c>
      <c r="AH111" s="39">
        <v>0</v>
      </c>
      <c r="AI111" s="38" t="str">
        <f>+$J$111</f>
        <v>Remitir informes trimestrales de los indicadores formulados y las acciones de mejoras</v>
      </c>
      <c r="AJ111" s="39">
        <v>0</v>
      </c>
      <c r="AK111" s="42"/>
      <c r="AL111" s="42"/>
      <c r="AM111" s="40" t="e">
        <f t="shared" si="29"/>
        <v>#DIV/0!</v>
      </c>
      <c r="AN111" s="40" t="e">
        <f t="shared" si="30"/>
        <v>#DIV/0!</v>
      </c>
      <c r="AO111" s="40">
        <f t="shared" si="31"/>
        <v>0</v>
      </c>
      <c r="AP111" s="43" t="e">
        <f t="shared" si="32"/>
        <v>#DIV/0!</v>
      </c>
      <c r="AQ111" s="39">
        <v>0</v>
      </c>
      <c r="AR111" s="38" t="str">
        <f>+$J$111</f>
        <v>Remitir informes trimestrales de los indicadores formulados y las acciones de mejoras</v>
      </c>
      <c r="AS111" s="39">
        <v>0</v>
      </c>
      <c r="AT111" s="42"/>
      <c r="AU111" s="42"/>
      <c r="AV111" s="40" t="e">
        <f t="shared" si="33"/>
        <v>#DIV/0!</v>
      </c>
      <c r="AW111" s="40" t="e">
        <f t="shared" si="34"/>
        <v>#DIV/0!</v>
      </c>
      <c r="AX111" s="40">
        <f t="shared" si="35"/>
        <v>0</v>
      </c>
      <c r="AY111" s="40" t="e">
        <f t="shared" si="36"/>
        <v>#DIV/0!</v>
      </c>
      <c r="AZ111" s="47">
        <v>1</v>
      </c>
      <c r="BA111" s="38" t="str">
        <f>+$J$111</f>
        <v>Remitir informes trimestrales de los indicadores formulados y las acciones de mejoras</v>
      </c>
      <c r="BB111" s="39">
        <v>0</v>
      </c>
      <c r="BC111" s="42"/>
      <c r="BD111" s="42"/>
      <c r="BE111" s="40">
        <f t="shared" si="37"/>
        <v>0</v>
      </c>
      <c r="BF111" s="40" t="e">
        <f t="shared" si="38"/>
        <v>#DIV/0!</v>
      </c>
      <c r="BG111" s="40">
        <f t="shared" si="39"/>
        <v>0</v>
      </c>
      <c r="BH111" s="40" t="e">
        <f t="shared" si="40"/>
        <v>#DIV/0!</v>
      </c>
      <c r="BI111" s="44" t="str">
        <f t="shared" si="41"/>
        <v>No Prog ni Ejec</v>
      </c>
      <c r="BJ111" s="44" t="str">
        <f t="shared" si="42"/>
        <v>No Prog ni Ejec</v>
      </c>
      <c r="BK111" s="44" t="str">
        <f t="shared" si="43"/>
        <v>No Prog ni Ejec</v>
      </c>
      <c r="BL111" s="44" t="str">
        <f t="shared" si="44"/>
        <v>No Prog ni Ejec</v>
      </c>
      <c r="BM111" s="44" t="str">
        <f t="shared" si="45"/>
        <v>No Prog ni Ejec</v>
      </c>
      <c r="BN111" s="44" t="str">
        <f t="shared" si="46"/>
        <v>No Prog ni Ejec</v>
      </c>
      <c r="BO111" s="44">
        <f t="shared" si="47"/>
        <v>0</v>
      </c>
      <c r="BP111" s="44" t="str">
        <f t="shared" si="48"/>
        <v>No Prog ni Ejec</v>
      </c>
      <c r="BQ111" s="42"/>
    </row>
    <row r="112" spans="1:69" s="45" customFormat="1" ht="105" x14ac:dyDescent="0.25">
      <c r="A112" s="34">
        <v>11800</v>
      </c>
      <c r="B112" s="35" t="str">
        <f>+VLOOKUP(A112,'[1]TAB. REF. PA'!$A$4:$B$14,2,FALSE)</f>
        <v>Oficina de Control Interno</v>
      </c>
      <c r="C112" s="36" t="s">
        <v>333</v>
      </c>
      <c r="D112" s="35" t="s">
        <v>256</v>
      </c>
      <c r="E112" s="36" t="s">
        <v>324</v>
      </c>
      <c r="F112" s="38" t="s">
        <v>678</v>
      </c>
      <c r="G112" s="37" t="s">
        <v>123</v>
      </c>
      <c r="H112" s="56">
        <v>1</v>
      </c>
      <c r="I112" s="36" t="s">
        <v>339</v>
      </c>
      <c r="J112" s="38" t="s">
        <v>334</v>
      </c>
      <c r="K112" s="39">
        <v>0</v>
      </c>
      <c r="L112" s="40">
        <v>1</v>
      </c>
      <c r="M112" s="41" t="s">
        <v>50</v>
      </c>
      <c r="N112" s="41" t="s">
        <v>64</v>
      </c>
      <c r="O112" s="41" t="s">
        <v>37</v>
      </c>
      <c r="P112" s="41" t="s">
        <v>39</v>
      </c>
      <c r="Q112" s="41" t="s">
        <v>230</v>
      </c>
      <c r="R112" s="42"/>
      <c r="S112" s="41" t="s">
        <v>342</v>
      </c>
      <c r="T112" s="41" t="s">
        <v>105</v>
      </c>
      <c r="U112" s="40">
        <v>1</v>
      </c>
      <c r="V112" s="38" t="str">
        <f>+$J$112</f>
        <v>Realizar las auditorías internas, de acuerdo a lo programado para la vigencia.</v>
      </c>
      <c r="W112" s="39">
        <v>0</v>
      </c>
      <c r="X112" s="34" t="s">
        <v>117</v>
      </c>
      <c r="Y112" s="40">
        <v>0.25</v>
      </c>
      <c r="Z112" s="38" t="str">
        <f>+$J$112</f>
        <v>Realizar las auditorías internas, de acuerdo a lo programado para la vigencia.</v>
      </c>
      <c r="AA112" s="39">
        <v>0</v>
      </c>
      <c r="AB112" s="42"/>
      <c r="AC112" s="42"/>
      <c r="AD112" s="40">
        <f t="shared" si="25"/>
        <v>0</v>
      </c>
      <c r="AE112" s="40" t="e">
        <f t="shared" si="26"/>
        <v>#DIV/0!</v>
      </c>
      <c r="AF112" s="40">
        <f t="shared" si="27"/>
        <v>0</v>
      </c>
      <c r="AG112" s="40" t="e">
        <f t="shared" si="28"/>
        <v>#DIV/0!</v>
      </c>
      <c r="AH112" s="40">
        <v>0.25</v>
      </c>
      <c r="AI112" s="38" t="str">
        <f>+$J$112</f>
        <v>Realizar las auditorías internas, de acuerdo a lo programado para la vigencia.</v>
      </c>
      <c r="AJ112" s="39">
        <v>0</v>
      </c>
      <c r="AK112" s="42"/>
      <c r="AL112" s="42"/>
      <c r="AM112" s="40">
        <f t="shared" si="29"/>
        <v>0</v>
      </c>
      <c r="AN112" s="40" t="e">
        <f t="shared" si="30"/>
        <v>#DIV/0!</v>
      </c>
      <c r="AO112" s="40">
        <f t="shared" si="31"/>
        <v>0</v>
      </c>
      <c r="AP112" s="43" t="e">
        <f t="shared" si="32"/>
        <v>#DIV/0!</v>
      </c>
      <c r="AQ112" s="40">
        <v>0.25</v>
      </c>
      <c r="AR112" s="38" t="str">
        <f>+$J$112</f>
        <v>Realizar las auditorías internas, de acuerdo a lo programado para la vigencia.</v>
      </c>
      <c r="AS112" s="39">
        <v>0</v>
      </c>
      <c r="AT112" s="42"/>
      <c r="AU112" s="42"/>
      <c r="AV112" s="40">
        <f t="shared" si="33"/>
        <v>0</v>
      </c>
      <c r="AW112" s="40" t="e">
        <f t="shared" si="34"/>
        <v>#DIV/0!</v>
      </c>
      <c r="AX112" s="40">
        <f t="shared" si="35"/>
        <v>0</v>
      </c>
      <c r="AY112" s="40" t="e">
        <f t="shared" si="36"/>
        <v>#DIV/0!</v>
      </c>
      <c r="AZ112" s="40">
        <v>0.25</v>
      </c>
      <c r="BA112" s="38" t="str">
        <f>+$J$112</f>
        <v>Realizar las auditorías internas, de acuerdo a lo programado para la vigencia.</v>
      </c>
      <c r="BB112" s="39">
        <v>0</v>
      </c>
      <c r="BC112" s="42"/>
      <c r="BD112" s="42"/>
      <c r="BE112" s="40">
        <f t="shared" si="37"/>
        <v>0</v>
      </c>
      <c r="BF112" s="40" t="e">
        <f t="shared" si="38"/>
        <v>#DIV/0!</v>
      </c>
      <c r="BG112" s="40">
        <f t="shared" si="39"/>
        <v>0</v>
      </c>
      <c r="BH112" s="40" t="e">
        <f t="shared" si="40"/>
        <v>#DIV/0!</v>
      </c>
      <c r="BI112" s="44">
        <f t="shared" si="41"/>
        <v>0</v>
      </c>
      <c r="BJ112" s="44" t="str">
        <f t="shared" si="42"/>
        <v>No Prog ni Ejec</v>
      </c>
      <c r="BK112" s="44">
        <f t="shared" si="43"/>
        <v>0</v>
      </c>
      <c r="BL112" s="44" t="str">
        <f t="shared" si="44"/>
        <v>No Prog ni Ejec</v>
      </c>
      <c r="BM112" s="44">
        <f t="shared" si="45"/>
        <v>0</v>
      </c>
      <c r="BN112" s="44" t="str">
        <f t="shared" si="46"/>
        <v>No Prog ni Ejec</v>
      </c>
      <c r="BO112" s="44">
        <f t="shared" si="47"/>
        <v>0</v>
      </c>
      <c r="BP112" s="44" t="str">
        <f t="shared" si="48"/>
        <v>No Prog ni Ejec</v>
      </c>
      <c r="BQ112" s="42"/>
    </row>
    <row r="113" spans="1:69" s="45" customFormat="1" ht="135" x14ac:dyDescent="0.25">
      <c r="A113" s="34">
        <v>11800</v>
      </c>
      <c r="B113" s="35" t="str">
        <f>+VLOOKUP(A113,'[1]TAB. REF. PA'!$A$4:$B$14,2,FALSE)</f>
        <v>Oficina de Control Interno</v>
      </c>
      <c r="C113" s="36" t="s">
        <v>345</v>
      </c>
      <c r="D113" s="35" t="s">
        <v>256</v>
      </c>
      <c r="E113" s="36" t="s">
        <v>552</v>
      </c>
      <c r="F113" s="38" t="s">
        <v>679</v>
      </c>
      <c r="G113" s="37" t="s">
        <v>123</v>
      </c>
      <c r="H113" s="56">
        <v>1</v>
      </c>
      <c r="I113" s="36" t="s">
        <v>553</v>
      </c>
      <c r="J113" s="38" t="s">
        <v>335</v>
      </c>
      <c r="K113" s="39">
        <v>0</v>
      </c>
      <c r="L113" s="40">
        <v>1</v>
      </c>
      <c r="M113" s="41" t="s">
        <v>50</v>
      </c>
      <c r="N113" s="41" t="s">
        <v>64</v>
      </c>
      <c r="O113" s="41" t="s">
        <v>37</v>
      </c>
      <c r="P113" s="41" t="s">
        <v>39</v>
      </c>
      <c r="Q113" s="41" t="s">
        <v>230</v>
      </c>
      <c r="R113" s="42"/>
      <c r="S113" s="41" t="s">
        <v>343</v>
      </c>
      <c r="T113" s="41" t="s">
        <v>105</v>
      </c>
      <c r="U113" s="40">
        <v>1</v>
      </c>
      <c r="V113" s="38" t="str">
        <f>+$J$113</f>
        <v>Dar respuesta a requerimientos de carácter interno en el marco de la normatividad vigente</v>
      </c>
      <c r="W113" s="39">
        <v>0</v>
      </c>
      <c r="X113" s="34" t="s">
        <v>117</v>
      </c>
      <c r="Y113" s="40">
        <v>0.25</v>
      </c>
      <c r="Z113" s="38" t="str">
        <f>+$J$113</f>
        <v>Dar respuesta a requerimientos de carácter interno en el marco de la normatividad vigente</v>
      </c>
      <c r="AA113" s="39">
        <v>0</v>
      </c>
      <c r="AB113" s="42"/>
      <c r="AC113" s="42"/>
      <c r="AD113" s="40">
        <f t="shared" si="25"/>
        <v>0</v>
      </c>
      <c r="AE113" s="40" t="e">
        <f t="shared" si="26"/>
        <v>#DIV/0!</v>
      </c>
      <c r="AF113" s="40">
        <f t="shared" si="27"/>
        <v>0</v>
      </c>
      <c r="AG113" s="40" t="e">
        <f t="shared" si="28"/>
        <v>#DIV/0!</v>
      </c>
      <c r="AH113" s="40">
        <v>0.25</v>
      </c>
      <c r="AI113" s="38" t="str">
        <f>+$J$113</f>
        <v>Dar respuesta a requerimientos de carácter interno en el marco de la normatividad vigente</v>
      </c>
      <c r="AJ113" s="39">
        <v>0</v>
      </c>
      <c r="AK113" s="42"/>
      <c r="AL113" s="42"/>
      <c r="AM113" s="40">
        <f t="shared" si="29"/>
        <v>0</v>
      </c>
      <c r="AN113" s="40" t="e">
        <f t="shared" si="30"/>
        <v>#DIV/0!</v>
      </c>
      <c r="AO113" s="40">
        <f t="shared" si="31"/>
        <v>0</v>
      </c>
      <c r="AP113" s="43" t="e">
        <f t="shared" si="32"/>
        <v>#DIV/0!</v>
      </c>
      <c r="AQ113" s="40">
        <v>0.25</v>
      </c>
      <c r="AR113" s="38" t="str">
        <f>+$J$113</f>
        <v>Dar respuesta a requerimientos de carácter interno en el marco de la normatividad vigente</v>
      </c>
      <c r="AS113" s="39">
        <v>0</v>
      </c>
      <c r="AT113" s="42"/>
      <c r="AU113" s="42"/>
      <c r="AV113" s="40">
        <f t="shared" si="33"/>
        <v>0</v>
      </c>
      <c r="AW113" s="40" t="e">
        <f t="shared" si="34"/>
        <v>#DIV/0!</v>
      </c>
      <c r="AX113" s="40">
        <f t="shared" si="35"/>
        <v>0</v>
      </c>
      <c r="AY113" s="40" t="e">
        <f t="shared" si="36"/>
        <v>#DIV/0!</v>
      </c>
      <c r="AZ113" s="40">
        <v>0.25</v>
      </c>
      <c r="BA113" s="38" t="str">
        <f>+$J$113</f>
        <v>Dar respuesta a requerimientos de carácter interno en el marco de la normatividad vigente</v>
      </c>
      <c r="BB113" s="39">
        <v>0</v>
      </c>
      <c r="BC113" s="42"/>
      <c r="BD113" s="42"/>
      <c r="BE113" s="40">
        <f t="shared" si="37"/>
        <v>0</v>
      </c>
      <c r="BF113" s="40" t="e">
        <f t="shared" si="38"/>
        <v>#DIV/0!</v>
      </c>
      <c r="BG113" s="40">
        <f t="shared" si="39"/>
        <v>0</v>
      </c>
      <c r="BH113" s="40" t="e">
        <f t="shared" si="40"/>
        <v>#DIV/0!</v>
      </c>
      <c r="BI113" s="44">
        <f t="shared" si="41"/>
        <v>0</v>
      </c>
      <c r="BJ113" s="44" t="str">
        <f t="shared" si="42"/>
        <v>No Prog ni Ejec</v>
      </c>
      <c r="BK113" s="44">
        <f t="shared" si="43"/>
        <v>0</v>
      </c>
      <c r="BL113" s="44" t="str">
        <f t="shared" si="44"/>
        <v>No Prog ni Ejec</v>
      </c>
      <c r="BM113" s="44">
        <f t="shared" si="45"/>
        <v>0</v>
      </c>
      <c r="BN113" s="44" t="str">
        <f t="shared" si="46"/>
        <v>No Prog ni Ejec</v>
      </c>
      <c r="BO113" s="44">
        <f t="shared" si="47"/>
        <v>0</v>
      </c>
      <c r="BP113" s="44" t="str">
        <f t="shared" si="48"/>
        <v>No Prog ni Ejec</v>
      </c>
      <c r="BQ113" s="42"/>
    </row>
    <row r="114" spans="1:69" s="45" customFormat="1" ht="180" x14ac:dyDescent="0.25">
      <c r="A114" s="34">
        <v>11800</v>
      </c>
      <c r="B114" s="35" t="str">
        <f>+VLOOKUP(A114,'[1]TAB. REF. PA'!$A$4:$B$14,2,FALSE)</f>
        <v>Oficina de Control Interno</v>
      </c>
      <c r="C114" s="36" t="s">
        <v>346</v>
      </c>
      <c r="D114" s="35" t="s">
        <v>256</v>
      </c>
      <c r="E114" s="36" t="s">
        <v>554</v>
      </c>
      <c r="F114" s="38" t="s">
        <v>680</v>
      </c>
      <c r="G114" s="37" t="s">
        <v>123</v>
      </c>
      <c r="H114" s="56">
        <v>1</v>
      </c>
      <c r="I114" s="36" t="s">
        <v>555</v>
      </c>
      <c r="J114" s="38" t="s">
        <v>336</v>
      </c>
      <c r="K114" s="39">
        <v>0</v>
      </c>
      <c r="L114" s="40">
        <v>1</v>
      </c>
      <c r="M114" s="41" t="s">
        <v>50</v>
      </c>
      <c r="N114" s="41" t="s">
        <v>64</v>
      </c>
      <c r="O114" s="41" t="s">
        <v>37</v>
      </c>
      <c r="P114" s="41" t="s">
        <v>39</v>
      </c>
      <c r="Q114" s="41" t="s">
        <v>230</v>
      </c>
      <c r="R114" s="42"/>
      <c r="S114" s="41" t="s">
        <v>344</v>
      </c>
      <c r="T114" s="41" t="s">
        <v>105</v>
      </c>
      <c r="U114" s="40">
        <v>1</v>
      </c>
      <c r="V114" s="38" t="str">
        <f>+$J$114</f>
        <v>Dar respuesta a requerimientos de organismos externos en el marco de la normatividad vigente</v>
      </c>
      <c r="W114" s="39">
        <v>0</v>
      </c>
      <c r="X114" s="34" t="s">
        <v>117</v>
      </c>
      <c r="Y114" s="40">
        <v>0.25</v>
      </c>
      <c r="Z114" s="38" t="str">
        <f>+$J$114</f>
        <v>Dar respuesta a requerimientos de organismos externos en el marco de la normatividad vigente</v>
      </c>
      <c r="AA114" s="39">
        <v>0</v>
      </c>
      <c r="AB114" s="42"/>
      <c r="AC114" s="42"/>
      <c r="AD114" s="40">
        <f t="shared" si="25"/>
        <v>0</v>
      </c>
      <c r="AE114" s="40" t="e">
        <f t="shared" si="26"/>
        <v>#DIV/0!</v>
      </c>
      <c r="AF114" s="40">
        <f t="shared" si="27"/>
        <v>0</v>
      </c>
      <c r="AG114" s="40" t="e">
        <f t="shared" si="28"/>
        <v>#DIV/0!</v>
      </c>
      <c r="AH114" s="40">
        <v>0.25</v>
      </c>
      <c r="AI114" s="38" t="str">
        <f>+$J$114</f>
        <v>Dar respuesta a requerimientos de organismos externos en el marco de la normatividad vigente</v>
      </c>
      <c r="AJ114" s="39">
        <v>0</v>
      </c>
      <c r="AK114" s="42"/>
      <c r="AL114" s="42"/>
      <c r="AM114" s="40">
        <f t="shared" si="29"/>
        <v>0</v>
      </c>
      <c r="AN114" s="40" t="e">
        <f t="shared" si="30"/>
        <v>#DIV/0!</v>
      </c>
      <c r="AO114" s="40">
        <f t="shared" si="31"/>
        <v>0</v>
      </c>
      <c r="AP114" s="43" t="e">
        <f t="shared" si="32"/>
        <v>#DIV/0!</v>
      </c>
      <c r="AQ114" s="40">
        <v>0.25</v>
      </c>
      <c r="AR114" s="38" t="str">
        <f>+$J$114</f>
        <v>Dar respuesta a requerimientos de organismos externos en el marco de la normatividad vigente</v>
      </c>
      <c r="AS114" s="39">
        <v>0</v>
      </c>
      <c r="AT114" s="42"/>
      <c r="AU114" s="42"/>
      <c r="AV114" s="40">
        <f t="shared" si="33"/>
        <v>0</v>
      </c>
      <c r="AW114" s="40" t="e">
        <f t="shared" si="34"/>
        <v>#DIV/0!</v>
      </c>
      <c r="AX114" s="40">
        <f t="shared" si="35"/>
        <v>0</v>
      </c>
      <c r="AY114" s="40" t="e">
        <f t="shared" si="36"/>
        <v>#DIV/0!</v>
      </c>
      <c r="AZ114" s="40">
        <v>0.25</v>
      </c>
      <c r="BA114" s="38" t="str">
        <f>+$J$114</f>
        <v>Dar respuesta a requerimientos de organismos externos en el marco de la normatividad vigente</v>
      </c>
      <c r="BB114" s="39">
        <v>0</v>
      </c>
      <c r="BC114" s="42"/>
      <c r="BD114" s="42"/>
      <c r="BE114" s="40">
        <f t="shared" si="37"/>
        <v>0</v>
      </c>
      <c r="BF114" s="40" t="e">
        <f t="shared" si="38"/>
        <v>#DIV/0!</v>
      </c>
      <c r="BG114" s="40">
        <f t="shared" si="39"/>
        <v>0</v>
      </c>
      <c r="BH114" s="40" t="e">
        <f t="shared" si="40"/>
        <v>#DIV/0!</v>
      </c>
      <c r="BI114" s="44">
        <f t="shared" si="41"/>
        <v>0</v>
      </c>
      <c r="BJ114" s="44" t="str">
        <f t="shared" si="42"/>
        <v>No Prog ni Ejec</v>
      </c>
      <c r="BK114" s="44">
        <f t="shared" si="43"/>
        <v>0</v>
      </c>
      <c r="BL114" s="44" t="str">
        <f t="shared" si="44"/>
        <v>No Prog ni Ejec</v>
      </c>
      <c r="BM114" s="44">
        <f t="shared" si="45"/>
        <v>0</v>
      </c>
      <c r="BN114" s="44" t="str">
        <f t="shared" si="46"/>
        <v>No Prog ni Ejec</v>
      </c>
      <c r="BO114" s="44">
        <f t="shared" si="47"/>
        <v>0</v>
      </c>
      <c r="BP114" s="44" t="str">
        <f t="shared" si="48"/>
        <v>No Prog ni Ejec</v>
      </c>
      <c r="BQ114" s="42"/>
    </row>
    <row r="115" spans="1:69" s="45" customFormat="1" ht="105" x14ac:dyDescent="0.25">
      <c r="A115" s="34">
        <v>11800</v>
      </c>
      <c r="B115" s="35" t="str">
        <f>+VLOOKUP(A115,'[1]TAB. REF. PA'!$A$4:$B$14,2,FALSE)</f>
        <v>Oficina de Control Interno</v>
      </c>
      <c r="C115" s="36" t="s">
        <v>347</v>
      </c>
      <c r="D115" s="35" t="s">
        <v>256</v>
      </c>
      <c r="E115" s="36" t="s">
        <v>556</v>
      </c>
      <c r="F115" s="38" t="s">
        <v>681</v>
      </c>
      <c r="G115" s="37" t="s">
        <v>123</v>
      </c>
      <c r="H115" s="56">
        <v>1</v>
      </c>
      <c r="I115" s="36" t="s">
        <v>558</v>
      </c>
      <c r="J115" s="38" t="s">
        <v>337</v>
      </c>
      <c r="K115" s="39">
        <v>0</v>
      </c>
      <c r="L115" s="40">
        <v>1</v>
      </c>
      <c r="M115" s="41" t="s">
        <v>50</v>
      </c>
      <c r="N115" s="41" t="s">
        <v>64</v>
      </c>
      <c r="O115" s="41" t="s">
        <v>37</v>
      </c>
      <c r="P115" s="41" t="s">
        <v>39</v>
      </c>
      <c r="Q115" s="41" t="s">
        <v>230</v>
      </c>
      <c r="R115" s="42"/>
      <c r="S115" s="41" t="s">
        <v>340</v>
      </c>
      <c r="T115" s="41" t="s">
        <v>105</v>
      </c>
      <c r="U115" s="40">
        <v>1</v>
      </c>
      <c r="V115" s="38" t="str">
        <f>+$J$115</f>
        <v>Medir el grado de cumplimiento de las acciones que hacen parte del Plan de mejoramiento institucional derivadas de la Auditoría de la CGR.</v>
      </c>
      <c r="W115" s="39">
        <v>0</v>
      </c>
      <c r="X115" s="34" t="s">
        <v>117</v>
      </c>
      <c r="Y115" s="40">
        <v>0.25</v>
      </c>
      <c r="Z115" s="38" t="str">
        <f>+$J$115</f>
        <v>Medir el grado de cumplimiento de las acciones que hacen parte del Plan de mejoramiento institucional derivadas de la Auditoría de la CGR.</v>
      </c>
      <c r="AA115" s="39">
        <v>0</v>
      </c>
      <c r="AB115" s="42"/>
      <c r="AC115" s="42"/>
      <c r="AD115" s="40">
        <f t="shared" si="25"/>
        <v>0</v>
      </c>
      <c r="AE115" s="40" t="e">
        <f t="shared" si="26"/>
        <v>#DIV/0!</v>
      </c>
      <c r="AF115" s="40">
        <f t="shared" si="27"/>
        <v>0</v>
      </c>
      <c r="AG115" s="40" t="e">
        <f t="shared" si="28"/>
        <v>#DIV/0!</v>
      </c>
      <c r="AH115" s="40">
        <v>0.25</v>
      </c>
      <c r="AI115" s="38" t="str">
        <f>+$J$115</f>
        <v>Medir el grado de cumplimiento de las acciones que hacen parte del Plan de mejoramiento institucional derivadas de la Auditoría de la CGR.</v>
      </c>
      <c r="AJ115" s="39">
        <v>0</v>
      </c>
      <c r="AK115" s="42"/>
      <c r="AL115" s="42"/>
      <c r="AM115" s="40">
        <f t="shared" si="29"/>
        <v>0</v>
      </c>
      <c r="AN115" s="40" t="e">
        <f t="shared" si="30"/>
        <v>#DIV/0!</v>
      </c>
      <c r="AO115" s="40">
        <f t="shared" si="31"/>
        <v>0</v>
      </c>
      <c r="AP115" s="43" t="e">
        <f t="shared" si="32"/>
        <v>#DIV/0!</v>
      </c>
      <c r="AQ115" s="40">
        <v>0.25</v>
      </c>
      <c r="AR115" s="38" t="str">
        <f>+$J$115</f>
        <v>Medir el grado de cumplimiento de las acciones que hacen parte del Plan de mejoramiento institucional derivadas de la Auditoría de la CGR.</v>
      </c>
      <c r="AS115" s="39">
        <v>0</v>
      </c>
      <c r="AT115" s="42"/>
      <c r="AU115" s="42"/>
      <c r="AV115" s="40">
        <f t="shared" si="33"/>
        <v>0</v>
      </c>
      <c r="AW115" s="40" t="e">
        <f t="shared" si="34"/>
        <v>#DIV/0!</v>
      </c>
      <c r="AX115" s="40">
        <f t="shared" si="35"/>
        <v>0</v>
      </c>
      <c r="AY115" s="40" t="e">
        <f t="shared" si="36"/>
        <v>#DIV/0!</v>
      </c>
      <c r="AZ115" s="40">
        <v>0.25</v>
      </c>
      <c r="BA115" s="38" t="str">
        <f>+$J$115</f>
        <v>Medir el grado de cumplimiento de las acciones que hacen parte del Plan de mejoramiento institucional derivadas de la Auditoría de la CGR.</v>
      </c>
      <c r="BB115" s="39">
        <v>0</v>
      </c>
      <c r="BC115" s="42"/>
      <c r="BD115" s="42"/>
      <c r="BE115" s="40">
        <f t="shared" si="37"/>
        <v>0</v>
      </c>
      <c r="BF115" s="40" t="e">
        <f t="shared" si="38"/>
        <v>#DIV/0!</v>
      </c>
      <c r="BG115" s="40">
        <f t="shared" si="39"/>
        <v>0</v>
      </c>
      <c r="BH115" s="40" t="e">
        <f t="shared" si="40"/>
        <v>#DIV/0!</v>
      </c>
      <c r="BI115" s="44">
        <f t="shared" si="41"/>
        <v>0</v>
      </c>
      <c r="BJ115" s="44" t="str">
        <f t="shared" si="42"/>
        <v>No Prog ni Ejec</v>
      </c>
      <c r="BK115" s="44">
        <f t="shared" si="43"/>
        <v>0</v>
      </c>
      <c r="BL115" s="44" t="str">
        <f t="shared" si="44"/>
        <v>No Prog ni Ejec</v>
      </c>
      <c r="BM115" s="44">
        <f t="shared" si="45"/>
        <v>0</v>
      </c>
      <c r="BN115" s="44" t="str">
        <f t="shared" si="46"/>
        <v>No Prog ni Ejec</v>
      </c>
      <c r="BO115" s="44">
        <f t="shared" si="47"/>
        <v>0</v>
      </c>
      <c r="BP115" s="44" t="str">
        <f t="shared" si="48"/>
        <v>No Prog ni Ejec</v>
      </c>
      <c r="BQ115" s="42"/>
    </row>
    <row r="116" spans="1:69" s="45" customFormat="1" ht="105" x14ac:dyDescent="0.25">
      <c r="A116" s="34">
        <v>11800</v>
      </c>
      <c r="B116" s="35" t="str">
        <f>+VLOOKUP(A116,'[1]TAB. REF. PA'!$A$4:$B$14,2,FALSE)</f>
        <v>Oficina de Control Interno</v>
      </c>
      <c r="C116" s="36" t="s">
        <v>348</v>
      </c>
      <c r="D116" s="35" t="s">
        <v>256</v>
      </c>
      <c r="E116" s="36" t="s">
        <v>557</v>
      </c>
      <c r="F116" s="38" t="s">
        <v>682</v>
      </c>
      <c r="G116" s="37" t="s">
        <v>123</v>
      </c>
      <c r="H116" s="56">
        <v>1</v>
      </c>
      <c r="I116" s="36" t="s">
        <v>559</v>
      </c>
      <c r="J116" s="38" t="s">
        <v>338</v>
      </c>
      <c r="K116" s="39">
        <v>200000000</v>
      </c>
      <c r="L116" s="40">
        <v>1</v>
      </c>
      <c r="M116" s="41" t="s">
        <v>51</v>
      </c>
      <c r="N116" s="41" t="s">
        <v>56</v>
      </c>
      <c r="O116" s="41" t="s">
        <v>21</v>
      </c>
      <c r="P116" s="41" t="s">
        <v>23</v>
      </c>
      <c r="Q116" s="41" t="s">
        <v>230</v>
      </c>
      <c r="R116" s="42"/>
      <c r="S116" s="41" t="s">
        <v>341</v>
      </c>
      <c r="T116" s="41"/>
      <c r="U116" s="40">
        <v>1</v>
      </c>
      <c r="V116" s="38" t="str">
        <f>+$J$116</f>
        <v>Comunicar mensajes con contenidos de autocontrol y de esta manera fomentar la cultura del autocontrol en la ADRES.</v>
      </c>
      <c r="W116" s="39">
        <v>200000000</v>
      </c>
      <c r="X116" s="34" t="s">
        <v>117</v>
      </c>
      <c r="Y116" s="40">
        <v>0.25</v>
      </c>
      <c r="Z116" s="38" t="str">
        <f>+$J$116</f>
        <v>Comunicar mensajes con contenidos de autocontrol y de esta manera fomentar la cultura del autocontrol en la ADRES.</v>
      </c>
      <c r="AA116" s="39">
        <f>+W116*Y116</f>
        <v>50000000</v>
      </c>
      <c r="AB116" s="42"/>
      <c r="AC116" s="42"/>
      <c r="AD116" s="40">
        <f t="shared" si="25"/>
        <v>0</v>
      </c>
      <c r="AE116" s="40">
        <f t="shared" si="26"/>
        <v>0</v>
      </c>
      <c r="AF116" s="40">
        <f t="shared" si="27"/>
        <v>0</v>
      </c>
      <c r="AG116" s="40">
        <f t="shared" si="28"/>
        <v>0</v>
      </c>
      <c r="AH116" s="40">
        <v>0.25</v>
      </c>
      <c r="AI116" s="38" t="str">
        <f>+$J$116</f>
        <v>Comunicar mensajes con contenidos de autocontrol y de esta manera fomentar la cultura del autocontrol en la ADRES.</v>
      </c>
      <c r="AJ116" s="39">
        <f>+W116*AH116</f>
        <v>50000000</v>
      </c>
      <c r="AK116" s="42"/>
      <c r="AL116" s="42"/>
      <c r="AM116" s="40">
        <f t="shared" si="29"/>
        <v>0</v>
      </c>
      <c r="AN116" s="40">
        <f t="shared" si="30"/>
        <v>0</v>
      </c>
      <c r="AO116" s="40">
        <f t="shared" si="31"/>
        <v>0</v>
      </c>
      <c r="AP116" s="43">
        <f t="shared" si="32"/>
        <v>0</v>
      </c>
      <c r="AQ116" s="40">
        <v>0.25</v>
      </c>
      <c r="AR116" s="38" t="str">
        <f>+$J$116</f>
        <v>Comunicar mensajes con contenidos de autocontrol y de esta manera fomentar la cultura del autocontrol en la ADRES.</v>
      </c>
      <c r="AS116" s="39">
        <f>+W116*AQ116</f>
        <v>50000000</v>
      </c>
      <c r="AT116" s="42"/>
      <c r="AU116" s="42"/>
      <c r="AV116" s="40">
        <f t="shared" si="33"/>
        <v>0</v>
      </c>
      <c r="AW116" s="40">
        <f t="shared" si="34"/>
        <v>0</v>
      </c>
      <c r="AX116" s="40">
        <f t="shared" si="35"/>
        <v>0</v>
      </c>
      <c r="AY116" s="40">
        <f t="shared" si="36"/>
        <v>0</v>
      </c>
      <c r="AZ116" s="40">
        <v>0.25</v>
      </c>
      <c r="BA116" s="38" t="str">
        <f>+$J$116</f>
        <v>Comunicar mensajes con contenidos de autocontrol y de esta manera fomentar la cultura del autocontrol en la ADRES.</v>
      </c>
      <c r="BB116" s="39">
        <f>+W116*AZ116</f>
        <v>50000000</v>
      </c>
      <c r="BC116" s="42"/>
      <c r="BD116" s="42"/>
      <c r="BE116" s="40">
        <f t="shared" si="37"/>
        <v>0</v>
      </c>
      <c r="BF116" s="40">
        <f t="shared" si="38"/>
        <v>0</v>
      </c>
      <c r="BG116" s="40">
        <f t="shared" si="39"/>
        <v>0</v>
      </c>
      <c r="BH116" s="40">
        <f t="shared" si="40"/>
        <v>0</v>
      </c>
      <c r="BI116" s="44">
        <f t="shared" si="41"/>
        <v>0</v>
      </c>
      <c r="BJ116" s="44">
        <f t="shared" si="42"/>
        <v>0</v>
      </c>
      <c r="BK116" s="44">
        <f t="shared" si="43"/>
        <v>0</v>
      </c>
      <c r="BL116" s="44">
        <f t="shared" si="44"/>
        <v>0</v>
      </c>
      <c r="BM116" s="44">
        <f t="shared" si="45"/>
        <v>0</v>
      </c>
      <c r="BN116" s="44">
        <f t="shared" si="46"/>
        <v>0</v>
      </c>
      <c r="BO116" s="44">
        <f t="shared" si="47"/>
        <v>0</v>
      </c>
      <c r="BP116" s="44">
        <f t="shared" si="48"/>
        <v>0</v>
      </c>
      <c r="BQ116" s="42"/>
    </row>
    <row r="117" spans="1:69" s="18" customFormat="1" ht="105" x14ac:dyDescent="0.25">
      <c r="A117" s="80">
        <v>11900</v>
      </c>
      <c r="B117" s="79" t="str">
        <f>+VLOOKUP(A117,'[5]TAB. REF. PA'!$A$4:$B$14,2,FALSE)</f>
        <v>Oficina Asesora Jurídica</v>
      </c>
      <c r="C117" s="80" t="s">
        <v>350</v>
      </c>
      <c r="D117" s="79" t="s">
        <v>153</v>
      </c>
      <c r="E117" s="80" t="s">
        <v>352</v>
      </c>
      <c r="F117" s="79" t="s">
        <v>684</v>
      </c>
      <c r="G117" s="80" t="s">
        <v>124</v>
      </c>
      <c r="H117" s="80">
        <v>4</v>
      </c>
      <c r="I117" s="80" t="s">
        <v>544</v>
      </c>
      <c r="J117" s="81" t="s">
        <v>685</v>
      </c>
      <c r="K117" s="82">
        <v>0</v>
      </c>
      <c r="L117" s="88">
        <v>1</v>
      </c>
      <c r="M117" s="84" t="s">
        <v>51</v>
      </c>
      <c r="N117" s="84" t="s">
        <v>68</v>
      </c>
      <c r="O117" s="84" t="s">
        <v>21</v>
      </c>
      <c r="P117" s="84" t="s">
        <v>36</v>
      </c>
      <c r="Q117" s="84" t="s">
        <v>75</v>
      </c>
      <c r="R117" s="85"/>
      <c r="S117" s="89" t="s">
        <v>631</v>
      </c>
      <c r="T117" s="84" t="s">
        <v>98</v>
      </c>
      <c r="U117" s="117">
        <f>+H117</f>
        <v>4</v>
      </c>
      <c r="V117" s="81" t="str">
        <f>+J117</f>
        <v xml:space="preserve">
Reportar  trimestralmente el cumplimiento del Plan de Acción de la Dependencia</v>
      </c>
      <c r="W117" s="82">
        <v>0</v>
      </c>
      <c r="X117" s="78" t="s">
        <v>117</v>
      </c>
      <c r="Y117" s="117">
        <v>1</v>
      </c>
      <c r="Z117" s="81" t="str">
        <f>+V117</f>
        <v xml:space="preserve">
Reportar  trimestralmente el cumplimiento del Plan de Acción de la Dependencia</v>
      </c>
      <c r="AA117" s="82">
        <v>0</v>
      </c>
      <c r="AB117" s="85"/>
      <c r="AC117" s="85"/>
      <c r="AD117" s="83">
        <f t="shared" si="25"/>
        <v>0</v>
      </c>
      <c r="AE117" s="83" t="e">
        <f t="shared" si="26"/>
        <v>#DIV/0!</v>
      </c>
      <c r="AF117" s="83">
        <f t="shared" si="27"/>
        <v>0</v>
      </c>
      <c r="AG117" s="83" t="e">
        <f t="shared" si="28"/>
        <v>#DIV/0!</v>
      </c>
      <c r="AH117" s="117">
        <v>1</v>
      </c>
      <c r="AI117" s="81" t="str">
        <f>+V117</f>
        <v xml:space="preserve">
Reportar  trimestralmente el cumplimiento del Plan de Acción de la Dependencia</v>
      </c>
      <c r="AJ117" s="82">
        <v>0</v>
      </c>
      <c r="AK117" s="85"/>
      <c r="AL117" s="85"/>
      <c r="AM117" s="83">
        <f t="shared" si="29"/>
        <v>0</v>
      </c>
      <c r="AN117" s="83" t="e">
        <f t="shared" si="30"/>
        <v>#DIV/0!</v>
      </c>
      <c r="AO117" s="83">
        <f t="shared" si="31"/>
        <v>0</v>
      </c>
      <c r="AP117" s="87" t="e">
        <f t="shared" si="32"/>
        <v>#DIV/0!</v>
      </c>
      <c r="AQ117" s="117">
        <v>1</v>
      </c>
      <c r="AR117" s="81" t="str">
        <f>+V117</f>
        <v xml:space="preserve">
Reportar  trimestralmente el cumplimiento del Plan de Acción de la Dependencia</v>
      </c>
      <c r="AS117" s="82">
        <v>0</v>
      </c>
      <c r="AT117" s="85"/>
      <c r="AU117" s="85"/>
      <c r="AV117" s="83">
        <f t="shared" si="33"/>
        <v>0</v>
      </c>
      <c r="AW117" s="83" t="e">
        <f t="shared" si="34"/>
        <v>#DIV/0!</v>
      </c>
      <c r="AX117" s="83">
        <f t="shared" si="35"/>
        <v>0</v>
      </c>
      <c r="AY117" s="83" t="e">
        <f t="shared" si="36"/>
        <v>#DIV/0!</v>
      </c>
      <c r="AZ117" s="117">
        <v>1</v>
      </c>
      <c r="BA117" s="81" t="str">
        <f>+V117</f>
        <v xml:space="preserve">
Reportar  trimestralmente el cumplimiento del Plan de Acción de la Dependencia</v>
      </c>
      <c r="BB117" s="82">
        <v>0</v>
      </c>
      <c r="BC117" s="85"/>
      <c r="BD117" s="85"/>
      <c r="BE117" s="83">
        <f t="shared" si="37"/>
        <v>0</v>
      </c>
      <c r="BF117" s="83" t="e">
        <f t="shared" si="38"/>
        <v>#DIV/0!</v>
      </c>
      <c r="BG117" s="83">
        <f t="shared" si="39"/>
        <v>0</v>
      </c>
      <c r="BH117" s="83" t="e">
        <f t="shared" si="40"/>
        <v>#DIV/0!</v>
      </c>
      <c r="BI117" s="17">
        <f t="shared" si="41"/>
        <v>0</v>
      </c>
      <c r="BJ117" s="17" t="str">
        <f t="shared" si="42"/>
        <v>No Prog ni Ejec</v>
      </c>
      <c r="BK117" s="17">
        <f t="shared" si="43"/>
        <v>0</v>
      </c>
      <c r="BL117" s="17" t="str">
        <f t="shared" si="44"/>
        <v>No Prog ni Ejec</v>
      </c>
      <c r="BM117" s="17">
        <f t="shared" si="45"/>
        <v>0</v>
      </c>
      <c r="BN117" s="17" t="str">
        <f t="shared" si="46"/>
        <v>No Prog ni Ejec</v>
      </c>
      <c r="BO117" s="17">
        <f t="shared" si="47"/>
        <v>0</v>
      </c>
      <c r="BP117" s="17" t="str">
        <f t="shared" si="48"/>
        <v>No Prog ni Ejec</v>
      </c>
      <c r="BQ117" s="16"/>
    </row>
    <row r="118" spans="1:69" s="18" customFormat="1" ht="105" x14ac:dyDescent="0.25">
      <c r="A118" s="80">
        <v>11900</v>
      </c>
      <c r="B118" s="79" t="str">
        <f>+VLOOKUP(A118,'[5]TAB. REF. PA'!$A$4:$B$14,2,FALSE)</f>
        <v>Oficina Asesora Jurídica</v>
      </c>
      <c r="C118" s="80" t="s">
        <v>351</v>
      </c>
      <c r="D118" s="79" t="s">
        <v>256</v>
      </c>
      <c r="E118" s="80" t="s">
        <v>353</v>
      </c>
      <c r="F118" s="79" t="s">
        <v>686</v>
      </c>
      <c r="G118" s="80" t="s">
        <v>123</v>
      </c>
      <c r="H118" s="93">
        <v>1</v>
      </c>
      <c r="I118" s="80" t="s">
        <v>545</v>
      </c>
      <c r="J118" s="81" t="s">
        <v>598</v>
      </c>
      <c r="K118" s="82">
        <v>0</v>
      </c>
      <c r="L118" s="88">
        <v>1</v>
      </c>
      <c r="M118" s="84" t="s">
        <v>51</v>
      </c>
      <c r="N118" s="84" t="s">
        <v>68</v>
      </c>
      <c r="O118" s="84" t="s">
        <v>21</v>
      </c>
      <c r="P118" s="84" t="s">
        <v>36</v>
      </c>
      <c r="Q118" s="84" t="s">
        <v>75</v>
      </c>
      <c r="R118" s="85"/>
      <c r="S118" s="89" t="s">
        <v>672</v>
      </c>
      <c r="T118" s="84" t="s">
        <v>98</v>
      </c>
      <c r="U118" s="88">
        <v>1</v>
      </c>
      <c r="V118" s="81" t="str">
        <f>+J118</f>
        <v>Formular los procesos y procedimientos en el marco del MIPG</v>
      </c>
      <c r="W118" s="82">
        <v>0</v>
      </c>
      <c r="X118" s="78" t="s">
        <v>117</v>
      </c>
      <c r="Y118" s="88">
        <v>0.25</v>
      </c>
      <c r="Z118" s="81" t="str">
        <f>+$J$106</f>
        <v>Garantizar la gestión de Servicio al ciudadano de la entidad  por los diferentes canales  de atención.</v>
      </c>
      <c r="AA118" s="82">
        <v>0</v>
      </c>
      <c r="AB118" s="85"/>
      <c r="AC118" s="85"/>
      <c r="AD118" s="83">
        <f>+(AB118/Y118)</f>
        <v>0</v>
      </c>
      <c r="AE118" s="83" t="e">
        <f t="shared" si="26"/>
        <v>#DIV/0!</v>
      </c>
      <c r="AF118" s="83">
        <f t="shared" si="27"/>
        <v>0</v>
      </c>
      <c r="AG118" s="83" t="e">
        <f t="shared" si="28"/>
        <v>#DIV/0!</v>
      </c>
      <c r="AH118" s="88">
        <v>0.25</v>
      </c>
      <c r="AI118" s="81" t="str">
        <f>+$J$106</f>
        <v>Garantizar la gestión de Servicio al ciudadano de la entidad  por los diferentes canales  de atención.</v>
      </c>
      <c r="AJ118" s="82">
        <v>0</v>
      </c>
      <c r="AK118" s="85"/>
      <c r="AL118" s="85"/>
      <c r="AM118" s="83">
        <f t="shared" si="29"/>
        <v>0</v>
      </c>
      <c r="AN118" s="83" t="e">
        <f t="shared" si="30"/>
        <v>#DIV/0!</v>
      </c>
      <c r="AO118" s="83">
        <f t="shared" si="31"/>
        <v>0</v>
      </c>
      <c r="AP118" s="87" t="e">
        <f t="shared" si="32"/>
        <v>#DIV/0!</v>
      </c>
      <c r="AQ118" s="88">
        <v>0.25</v>
      </c>
      <c r="AR118" s="81" t="str">
        <f>+$J$106</f>
        <v>Garantizar la gestión de Servicio al ciudadano de la entidad  por los diferentes canales  de atención.</v>
      </c>
      <c r="AS118" s="82">
        <v>0</v>
      </c>
      <c r="AT118" s="85"/>
      <c r="AU118" s="85"/>
      <c r="AV118" s="83">
        <f t="shared" si="33"/>
        <v>0</v>
      </c>
      <c r="AW118" s="83" t="e">
        <f t="shared" si="34"/>
        <v>#DIV/0!</v>
      </c>
      <c r="AX118" s="83">
        <f t="shared" si="35"/>
        <v>0</v>
      </c>
      <c r="AY118" s="83" t="e">
        <f t="shared" si="36"/>
        <v>#DIV/0!</v>
      </c>
      <c r="AZ118" s="88">
        <v>0.25</v>
      </c>
      <c r="BA118" s="81" t="str">
        <f>+$J$106</f>
        <v>Garantizar la gestión de Servicio al ciudadano de la entidad  por los diferentes canales  de atención.</v>
      </c>
      <c r="BB118" s="82">
        <v>0</v>
      </c>
      <c r="BC118" s="85"/>
      <c r="BD118" s="85"/>
      <c r="BE118" s="83">
        <f t="shared" si="37"/>
        <v>0</v>
      </c>
      <c r="BF118" s="83" t="e">
        <f t="shared" si="38"/>
        <v>#DIV/0!</v>
      </c>
      <c r="BG118" s="83">
        <f t="shared" si="39"/>
        <v>0</v>
      </c>
      <c r="BH118" s="83" t="e">
        <f t="shared" si="40"/>
        <v>#DIV/0!</v>
      </c>
      <c r="BI118" s="17">
        <f t="shared" si="41"/>
        <v>0</v>
      </c>
      <c r="BJ118" s="17" t="str">
        <f t="shared" si="42"/>
        <v>No Prog ni Ejec</v>
      </c>
      <c r="BK118" s="17">
        <f t="shared" si="43"/>
        <v>0</v>
      </c>
      <c r="BL118" s="17" t="str">
        <f t="shared" si="44"/>
        <v>No Prog ni Ejec</v>
      </c>
      <c r="BM118" s="17">
        <f t="shared" si="45"/>
        <v>0</v>
      </c>
      <c r="BN118" s="17" t="str">
        <f t="shared" si="46"/>
        <v>No Prog ni Ejec</v>
      </c>
      <c r="BO118" s="17">
        <f t="shared" si="47"/>
        <v>0</v>
      </c>
      <c r="BP118" s="17" t="str">
        <f t="shared" si="48"/>
        <v>No Prog ni Ejec</v>
      </c>
      <c r="BQ118" s="16"/>
    </row>
    <row r="119" spans="1:69" s="18" customFormat="1" ht="105" x14ac:dyDescent="0.25">
      <c r="A119" s="80">
        <v>11900</v>
      </c>
      <c r="B119" s="79" t="str">
        <f>+VLOOKUP(A119,'[5]TAB. REF. PA'!$A$4:$B$14,2,FALSE)</f>
        <v>Oficina Asesora Jurídica</v>
      </c>
      <c r="C119" s="80" t="s">
        <v>351</v>
      </c>
      <c r="D119" s="79" t="s">
        <v>256</v>
      </c>
      <c r="E119" s="80" t="s">
        <v>354</v>
      </c>
      <c r="F119" s="81" t="s">
        <v>687</v>
      </c>
      <c r="G119" s="80" t="s">
        <v>124</v>
      </c>
      <c r="H119" s="80">
        <v>4</v>
      </c>
      <c r="I119" s="80" t="s">
        <v>560</v>
      </c>
      <c r="J119" s="81" t="s">
        <v>688</v>
      </c>
      <c r="K119" s="82">
        <v>0</v>
      </c>
      <c r="L119" s="88">
        <v>1</v>
      </c>
      <c r="M119" s="84" t="s">
        <v>51</v>
      </c>
      <c r="N119" s="84" t="s">
        <v>68</v>
      </c>
      <c r="O119" s="84" t="s">
        <v>21</v>
      </c>
      <c r="P119" s="84" t="s">
        <v>36</v>
      </c>
      <c r="Q119" s="84" t="s">
        <v>75</v>
      </c>
      <c r="R119" s="85"/>
      <c r="S119" s="84" t="s">
        <v>570</v>
      </c>
      <c r="T119" s="84" t="s">
        <v>98</v>
      </c>
      <c r="U119" s="80">
        <v>4</v>
      </c>
      <c r="V119" s="81" t="str">
        <f>+J119</f>
        <v>Evaluar la gestión y resultados de los procesos de calidad de la Dependencia y remitir informes trimestrales de los indicadores formulados y las acciones de mejoras</v>
      </c>
      <c r="W119" s="82">
        <v>0</v>
      </c>
      <c r="X119" s="78" t="s">
        <v>117</v>
      </c>
      <c r="Y119" s="80">
        <v>1</v>
      </c>
      <c r="Z119" s="81" t="str">
        <f>+V119</f>
        <v>Evaluar la gestión y resultados de los procesos de calidad de la Dependencia y remitir informes trimestrales de los indicadores formulados y las acciones de mejoras</v>
      </c>
      <c r="AA119" s="82">
        <v>0</v>
      </c>
      <c r="AB119" s="85"/>
      <c r="AC119" s="85"/>
      <c r="AD119" s="83">
        <f t="shared" si="25"/>
        <v>0</v>
      </c>
      <c r="AE119" s="83" t="e">
        <f t="shared" si="26"/>
        <v>#DIV/0!</v>
      </c>
      <c r="AF119" s="83">
        <f t="shared" si="27"/>
        <v>0</v>
      </c>
      <c r="AG119" s="83" t="e">
        <f t="shared" si="28"/>
        <v>#DIV/0!</v>
      </c>
      <c r="AH119" s="80">
        <v>1</v>
      </c>
      <c r="AI119" s="81" t="str">
        <f>+V119</f>
        <v>Evaluar la gestión y resultados de los procesos de calidad de la Dependencia y remitir informes trimestrales de los indicadores formulados y las acciones de mejoras</v>
      </c>
      <c r="AJ119" s="82">
        <v>0</v>
      </c>
      <c r="AK119" s="85"/>
      <c r="AL119" s="85"/>
      <c r="AM119" s="83">
        <f t="shared" si="29"/>
        <v>0</v>
      </c>
      <c r="AN119" s="83" t="e">
        <f t="shared" si="30"/>
        <v>#DIV/0!</v>
      </c>
      <c r="AO119" s="83">
        <f t="shared" si="31"/>
        <v>0</v>
      </c>
      <c r="AP119" s="87" t="e">
        <f t="shared" si="32"/>
        <v>#DIV/0!</v>
      </c>
      <c r="AQ119" s="80">
        <v>1</v>
      </c>
      <c r="AR119" s="81" t="str">
        <f>+V119</f>
        <v>Evaluar la gestión y resultados de los procesos de calidad de la Dependencia y remitir informes trimestrales de los indicadores formulados y las acciones de mejoras</v>
      </c>
      <c r="AS119" s="82">
        <v>0</v>
      </c>
      <c r="AT119" s="85"/>
      <c r="AU119" s="85"/>
      <c r="AV119" s="83">
        <f t="shared" si="33"/>
        <v>0</v>
      </c>
      <c r="AW119" s="83" t="e">
        <f t="shared" si="34"/>
        <v>#DIV/0!</v>
      </c>
      <c r="AX119" s="83">
        <f t="shared" si="35"/>
        <v>0</v>
      </c>
      <c r="AY119" s="83" t="e">
        <f t="shared" si="36"/>
        <v>#DIV/0!</v>
      </c>
      <c r="AZ119" s="80">
        <v>1</v>
      </c>
      <c r="BA119" s="81" t="str">
        <f>+V119</f>
        <v>Evaluar la gestión y resultados de los procesos de calidad de la Dependencia y remitir informes trimestrales de los indicadores formulados y las acciones de mejoras</v>
      </c>
      <c r="BB119" s="82">
        <v>0</v>
      </c>
      <c r="BC119" s="85"/>
      <c r="BD119" s="85"/>
      <c r="BE119" s="83">
        <f t="shared" si="37"/>
        <v>0</v>
      </c>
      <c r="BF119" s="83" t="e">
        <f t="shared" si="38"/>
        <v>#DIV/0!</v>
      </c>
      <c r="BG119" s="83">
        <f t="shared" si="39"/>
        <v>0</v>
      </c>
      <c r="BH119" s="83" t="e">
        <f t="shared" si="40"/>
        <v>#DIV/0!</v>
      </c>
      <c r="BI119" s="17">
        <f t="shared" si="41"/>
        <v>0</v>
      </c>
      <c r="BJ119" s="17" t="str">
        <f t="shared" si="42"/>
        <v>No Prog ni Ejec</v>
      </c>
      <c r="BK119" s="17">
        <f t="shared" si="43"/>
        <v>0</v>
      </c>
      <c r="BL119" s="17" t="str">
        <f t="shared" si="44"/>
        <v>No Prog ni Ejec</v>
      </c>
      <c r="BM119" s="17">
        <f t="shared" si="45"/>
        <v>0</v>
      </c>
      <c r="BN119" s="17" t="str">
        <f t="shared" si="46"/>
        <v>No Prog ni Ejec</v>
      </c>
      <c r="BO119" s="17">
        <f t="shared" si="47"/>
        <v>0</v>
      </c>
      <c r="BP119" s="17" t="str">
        <f t="shared" si="48"/>
        <v>No Prog ni Ejec</v>
      </c>
      <c r="BQ119" s="16"/>
    </row>
    <row r="120" spans="1:69" s="18" customFormat="1" ht="105" x14ac:dyDescent="0.25">
      <c r="A120" s="80">
        <v>11900</v>
      </c>
      <c r="B120" s="79" t="s">
        <v>349</v>
      </c>
      <c r="C120" s="80" t="s">
        <v>357</v>
      </c>
      <c r="D120" s="79" t="s">
        <v>146</v>
      </c>
      <c r="E120" s="80" t="s">
        <v>358</v>
      </c>
      <c r="F120" s="79" t="s">
        <v>689</v>
      </c>
      <c r="G120" s="80" t="s">
        <v>123</v>
      </c>
      <c r="H120" s="93">
        <v>1</v>
      </c>
      <c r="I120" s="80" t="s">
        <v>359</v>
      </c>
      <c r="J120" s="81" t="s">
        <v>690</v>
      </c>
      <c r="K120" s="82">
        <v>254442984</v>
      </c>
      <c r="L120" s="88">
        <v>1</v>
      </c>
      <c r="M120" s="84" t="s">
        <v>46</v>
      </c>
      <c r="N120" s="84" t="s">
        <v>74</v>
      </c>
      <c r="O120" s="84" t="s">
        <v>21</v>
      </c>
      <c r="P120" s="84" t="s">
        <v>36</v>
      </c>
      <c r="Q120" s="84" t="s">
        <v>229</v>
      </c>
      <c r="R120" s="85"/>
      <c r="S120" s="89" t="s">
        <v>360</v>
      </c>
      <c r="T120" s="84" t="s">
        <v>99</v>
      </c>
      <c r="U120" s="88">
        <v>1</v>
      </c>
      <c r="V120" s="81" t="s">
        <v>690</v>
      </c>
      <c r="W120" s="82">
        <v>307607868</v>
      </c>
      <c r="X120" s="78" t="s">
        <v>114</v>
      </c>
      <c r="Y120" s="88"/>
      <c r="Z120" s="81" t="s">
        <v>690</v>
      </c>
      <c r="AA120" s="82">
        <v>76901967</v>
      </c>
      <c r="AB120" s="85"/>
      <c r="AC120" s="85"/>
      <c r="AD120" s="83">
        <v>0</v>
      </c>
      <c r="AE120" s="83">
        <v>0</v>
      </c>
      <c r="AF120" s="83">
        <v>0</v>
      </c>
      <c r="AG120" s="83">
        <v>0</v>
      </c>
      <c r="AH120" s="88">
        <v>0.25</v>
      </c>
      <c r="AI120" s="81" t="s">
        <v>690</v>
      </c>
      <c r="AJ120" s="82">
        <v>76901967</v>
      </c>
      <c r="AK120" s="85"/>
      <c r="AL120" s="85"/>
      <c r="AM120" s="83">
        <v>0</v>
      </c>
      <c r="AN120" s="83">
        <v>0</v>
      </c>
      <c r="AO120" s="83">
        <v>0</v>
      </c>
      <c r="AP120" s="87">
        <v>0</v>
      </c>
      <c r="AQ120" s="88">
        <v>0.25</v>
      </c>
      <c r="AR120" s="81" t="s">
        <v>690</v>
      </c>
      <c r="AS120" s="82">
        <v>76901967</v>
      </c>
      <c r="AT120" s="85"/>
      <c r="AU120" s="85"/>
      <c r="AV120" s="83">
        <v>0</v>
      </c>
      <c r="AW120" s="83">
        <v>0</v>
      </c>
      <c r="AX120" s="83">
        <v>0</v>
      </c>
      <c r="AY120" s="83">
        <v>0</v>
      </c>
      <c r="AZ120" s="88">
        <v>0.25</v>
      </c>
      <c r="BA120" s="81" t="s">
        <v>690</v>
      </c>
      <c r="BB120" s="82">
        <v>76901967</v>
      </c>
      <c r="BC120" s="85"/>
      <c r="BD120" s="85"/>
      <c r="BE120" s="83">
        <v>0</v>
      </c>
      <c r="BF120" s="83">
        <v>0</v>
      </c>
      <c r="BG120" s="83">
        <v>0</v>
      </c>
      <c r="BH120" s="83">
        <v>0</v>
      </c>
      <c r="BI120" s="13" t="str">
        <f t="shared" si="41"/>
        <v>No Prog ni Ejec</v>
      </c>
      <c r="BJ120" s="13">
        <f t="shared" si="42"/>
        <v>0</v>
      </c>
      <c r="BK120" s="17">
        <f t="shared" si="43"/>
        <v>0</v>
      </c>
      <c r="BL120" s="13">
        <f t="shared" si="44"/>
        <v>0</v>
      </c>
      <c r="BM120" s="15">
        <f t="shared" si="45"/>
        <v>0</v>
      </c>
      <c r="BN120" s="13">
        <f t="shared" si="46"/>
        <v>0</v>
      </c>
      <c r="BO120" s="13">
        <f t="shared" si="47"/>
        <v>0</v>
      </c>
      <c r="BP120" s="13">
        <f t="shared" si="48"/>
        <v>0</v>
      </c>
      <c r="BQ120" s="1"/>
    </row>
    <row r="121" spans="1:69" s="18" customFormat="1" ht="120" x14ac:dyDescent="0.25">
      <c r="A121" s="80">
        <v>11900</v>
      </c>
      <c r="B121" s="79" t="s">
        <v>349</v>
      </c>
      <c r="C121" s="80" t="s">
        <v>357</v>
      </c>
      <c r="D121" s="79" t="s">
        <v>146</v>
      </c>
      <c r="E121" s="80" t="s">
        <v>361</v>
      </c>
      <c r="F121" s="79" t="s">
        <v>436</v>
      </c>
      <c r="G121" s="80" t="s">
        <v>123</v>
      </c>
      <c r="H121" s="93">
        <v>1</v>
      </c>
      <c r="I121" s="80" t="s">
        <v>458</v>
      </c>
      <c r="J121" s="81" t="s">
        <v>362</v>
      </c>
      <c r="K121" s="633">
        <v>690412896</v>
      </c>
      <c r="L121" s="636">
        <v>1</v>
      </c>
      <c r="M121" s="84" t="s">
        <v>46</v>
      </c>
      <c r="N121" s="84" t="s">
        <v>74</v>
      </c>
      <c r="O121" s="84" t="s">
        <v>21</v>
      </c>
      <c r="P121" s="84" t="s">
        <v>36</v>
      </c>
      <c r="Q121" s="84" t="s">
        <v>229</v>
      </c>
      <c r="R121" s="85"/>
      <c r="S121" s="89" t="s">
        <v>437</v>
      </c>
      <c r="T121" s="84" t="s">
        <v>99</v>
      </c>
      <c r="U121" s="88">
        <v>1</v>
      </c>
      <c r="V121" s="81" t="s">
        <v>362</v>
      </c>
      <c r="W121" s="82">
        <v>690412896</v>
      </c>
      <c r="X121" s="78" t="s">
        <v>114</v>
      </c>
      <c r="Y121" s="88">
        <v>0.25</v>
      </c>
      <c r="Z121" s="81" t="s">
        <v>362</v>
      </c>
      <c r="AA121" s="633">
        <v>172603224</v>
      </c>
      <c r="AB121" s="85"/>
      <c r="AC121" s="639"/>
      <c r="AD121" s="83">
        <v>0</v>
      </c>
      <c r="AE121" s="83">
        <v>0</v>
      </c>
      <c r="AF121" s="83">
        <v>0</v>
      </c>
      <c r="AG121" s="83">
        <v>0</v>
      </c>
      <c r="AH121" s="88">
        <v>0.25</v>
      </c>
      <c r="AI121" s="81" t="s">
        <v>362</v>
      </c>
      <c r="AJ121" s="633">
        <v>172603224</v>
      </c>
      <c r="AK121" s="85"/>
      <c r="AL121" s="642"/>
      <c r="AM121" s="82">
        <v>0</v>
      </c>
      <c r="AN121" s="83">
        <v>0</v>
      </c>
      <c r="AO121" s="83">
        <v>0</v>
      </c>
      <c r="AP121" s="87">
        <v>0</v>
      </c>
      <c r="AQ121" s="88">
        <v>0.25</v>
      </c>
      <c r="AR121" s="81" t="s">
        <v>362</v>
      </c>
      <c r="AS121" s="633">
        <v>172603224</v>
      </c>
      <c r="AT121" s="85"/>
      <c r="AU121" s="639"/>
      <c r="AV121" s="83">
        <v>0</v>
      </c>
      <c r="AW121" s="83">
        <v>0</v>
      </c>
      <c r="AX121" s="83">
        <v>0</v>
      </c>
      <c r="AY121" s="83">
        <v>0</v>
      </c>
      <c r="AZ121" s="88">
        <v>0.25</v>
      </c>
      <c r="BA121" s="81" t="s">
        <v>362</v>
      </c>
      <c r="BB121" s="633">
        <v>172603224</v>
      </c>
      <c r="BC121" s="85"/>
      <c r="BD121" s="639"/>
      <c r="BE121" s="83">
        <v>0</v>
      </c>
      <c r="BF121" s="83">
        <v>0</v>
      </c>
      <c r="BG121" s="83">
        <v>0</v>
      </c>
      <c r="BH121" s="83">
        <v>0</v>
      </c>
      <c r="BI121" s="13">
        <f t="shared" si="41"/>
        <v>0</v>
      </c>
      <c r="BJ121" s="13">
        <f t="shared" si="42"/>
        <v>0</v>
      </c>
      <c r="BK121" s="17">
        <f t="shared" si="43"/>
        <v>0</v>
      </c>
      <c r="BL121" s="13">
        <f t="shared" si="44"/>
        <v>0</v>
      </c>
      <c r="BM121" s="15">
        <f t="shared" si="45"/>
        <v>0</v>
      </c>
      <c r="BN121" s="13">
        <f t="shared" si="46"/>
        <v>0</v>
      </c>
      <c r="BO121" s="13">
        <f t="shared" si="47"/>
        <v>0</v>
      </c>
      <c r="BP121" s="13">
        <f t="shared" si="48"/>
        <v>0</v>
      </c>
      <c r="BQ121" s="1"/>
    </row>
    <row r="122" spans="1:69" s="18" customFormat="1" ht="150" x14ac:dyDescent="0.25">
      <c r="A122" s="80">
        <v>11900</v>
      </c>
      <c r="B122" s="79" t="s">
        <v>349</v>
      </c>
      <c r="C122" s="80" t="s">
        <v>357</v>
      </c>
      <c r="D122" s="79" t="s">
        <v>146</v>
      </c>
      <c r="E122" s="80" t="s">
        <v>371</v>
      </c>
      <c r="F122" s="79" t="s">
        <v>366</v>
      </c>
      <c r="G122" s="80" t="s">
        <v>123</v>
      </c>
      <c r="H122" s="93">
        <v>1</v>
      </c>
      <c r="I122" s="80" t="s">
        <v>547</v>
      </c>
      <c r="J122" s="81" t="s">
        <v>362</v>
      </c>
      <c r="K122" s="634"/>
      <c r="L122" s="637"/>
      <c r="M122" s="84" t="s">
        <v>46</v>
      </c>
      <c r="N122" s="84" t="s">
        <v>74</v>
      </c>
      <c r="O122" s="84" t="s">
        <v>21</v>
      </c>
      <c r="P122" s="84" t="s">
        <v>36</v>
      </c>
      <c r="Q122" s="84" t="s">
        <v>229</v>
      </c>
      <c r="R122" s="85"/>
      <c r="S122" s="89" t="s">
        <v>370</v>
      </c>
      <c r="T122" s="84" t="s">
        <v>99</v>
      </c>
      <c r="U122" s="88">
        <v>1</v>
      </c>
      <c r="V122" s="81" t="s">
        <v>362</v>
      </c>
      <c r="W122" s="82">
        <v>690412896</v>
      </c>
      <c r="X122" s="78" t="s">
        <v>117</v>
      </c>
      <c r="Y122" s="88">
        <v>0.25</v>
      </c>
      <c r="Z122" s="81" t="s">
        <v>362</v>
      </c>
      <c r="AA122" s="634"/>
      <c r="AB122" s="85"/>
      <c r="AC122" s="640"/>
      <c r="AD122" s="83">
        <v>0</v>
      </c>
      <c r="AE122" s="83">
        <v>0</v>
      </c>
      <c r="AF122" s="83">
        <v>0</v>
      </c>
      <c r="AG122" s="83">
        <v>0</v>
      </c>
      <c r="AH122" s="88">
        <v>0.25</v>
      </c>
      <c r="AI122" s="81" t="s">
        <v>362</v>
      </c>
      <c r="AJ122" s="634"/>
      <c r="AK122" s="85"/>
      <c r="AL122" s="643"/>
      <c r="AM122" s="83">
        <v>0</v>
      </c>
      <c r="AN122" s="83">
        <v>0</v>
      </c>
      <c r="AO122" s="83">
        <v>0</v>
      </c>
      <c r="AP122" s="87">
        <v>0</v>
      </c>
      <c r="AQ122" s="88">
        <v>0.25</v>
      </c>
      <c r="AR122" s="81" t="s">
        <v>362</v>
      </c>
      <c r="AS122" s="634"/>
      <c r="AT122" s="85"/>
      <c r="AU122" s="640"/>
      <c r="AV122" s="83">
        <v>0</v>
      </c>
      <c r="AW122" s="83">
        <v>0</v>
      </c>
      <c r="AX122" s="83">
        <v>0</v>
      </c>
      <c r="AY122" s="83">
        <v>0</v>
      </c>
      <c r="AZ122" s="88">
        <v>0.25</v>
      </c>
      <c r="BA122" s="81" t="s">
        <v>362</v>
      </c>
      <c r="BB122" s="634"/>
      <c r="BC122" s="85"/>
      <c r="BD122" s="640"/>
      <c r="BE122" s="83">
        <v>0</v>
      </c>
      <c r="BF122" s="83">
        <v>0</v>
      </c>
      <c r="BG122" s="83">
        <v>0</v>
      </c>
      <c r="BH122" s="83">
        <v>0</v>
      </c>
      <c r="BI122" s="13">
        <f t="shared" si="41"/>
        <v>0</v>
      </c>
      <c r="BJ122" s="13" t="str">
        <f t="shared" si="42"/>
        <v>No Prog ni Ejec</v>
      </c>
      <c r="BK122" s="17">
        <f t="shared" si="43"/>
        <v>0</v>
      </c>
      <c r="BL122" s="13" t="str">
        <f t="shared" si="44"/>
        <v>No Prog ni Ejec</v>
      </c>
      <c r="BM122" s="15">
        <f t="shared" si="45"/>
        <v>0</v>
      </c>
      <c r="BN122" s="13" t="str">
        <f t="shared" si="46"/>
        <v>No Prog ni Ejec</v>
      </c>
      <c r="BO122" s="13">
        <f t="shared" si="47"/>
        <v>0</v>
      </c>
      <c r="BP122" s="13" t="str">
        <f t="shared" si="48"/>
        <v>No Prog ni Ejec</v>
      </c>
      <c r="BQ122" s="1"/>
    </row>
    <row r="123" spans="1:69" s="18" customFormat="1" ht="105" x14ac:dyDescent="0.25">
      <c r="A123" s="80">
        <v>11900</v>
      </c>
      <c r="B123" s="79" t="s">
        <v>349</v>
      </c>
      <c r="C123" s="80" t="s">
        <v>357</v>
      </c>
      <c r="D123" s="79" t="s">
        <v>146</v>
      </c>
      <c r="E123" s="80" t="s">
        <v>372</v>
      </c>
      <c r="F123" s="79" t="s">
        <v>367</v>
      </c>
      <c r="G123" s="80" t="s">
        <v>123</v>
      </c>
      <c r="H123" s="93">
        <v>1</v>
      </c>
      <c r="I123" s="80" t="s">
        <v>459</v>
      </c>
      <c r="J123" s="81" t="s">
        <v>363</v>
      </c>
      <c r="K123" s="634"/>
      <c r="L123" s="637"/>
      <c r="M123" s="84" t="s">
        <v>46</v>
      </c>
      <c r="N123" s="84" t="s">
        <v>74</v>
      </c>
      <c r="O123" s="84" t="s">
        <v>21</v>
      </c>
      <c r="P123" s="84" t="s">
        <v>36</v>
      </c>
      <c r="Q123" s="84" t="s">
        <v>229</v>
      </c>
      <c r="R123" s="85"/>
      <c r="S123" s="89" t="s">
        <v>438</v>
      </c>
      <c r="T123" s="84" t="s">
        <v>99</v>
      </c>
      <c r="U123" s="88">
        <v>1</v>
      </c>
      <c r="V123" s="81" t="s">
        <v>363</v>
      </c>
      <c r="W123" s="82">
        <v>690412896</v>
      </c>
      <c r="X123" s="78" t="s">
        <v>114</v>
      </c>
      <c r="Y123" s="88">
        <v>0.25</v>
      </c>
      <c r="Z123" s="81" t="s">
        <v>363</v>
      </c>
      <c r="AA123" s="634"/>
      <c r="AB123" s="85"/>
      <c r="AC123" s="640"/>
      <c r="AD123" s="83">
        <v>0</v>
      </c>
      <c r="AE123" s="83">
        <v>0</v>
      </c>
      <c r="AF123" s="83">
        <v>0</v>
      </c>
      <c r="AG123" s="83">
        <v>0</v>
      </c>
      <c r="AH123" s="88">
        <v>0.25</v>
      </c>
      <c r="AI123" s="81" t="s">
        <v>363</v>
      </c>
      <c r="AJ123" s="634"/>
      <c r="AK123" s="85"/>
      <c r="AL123" s="643"/>
      <c r="AM123" s="83">
        <v>0</v>
      </c>
      <c r="AN123" s="83">
        <v>0</v>
      </c>
      <c r="AO123" s="83">
        <v>0</v>
      </c>
      <c r="AP123" s="87">
        <v>0</v>
      </c>
      <c r="AQ123" s="88">
        <v>0.25</v>
      </c>
      <c r="AR123" s="81" t="s">
        <v>363</v>
      </c>
      <c r="AS123" s="634"/>
      <c r="AT123" s="85"/>
      <c r="AU123" s="640"/>
      <c r="AV123" s="83">
        <v>0</v>
      </c>
      <c r="AW123" s="83">
        <v>0</v>
      </c>
      <c r="AX123" s="83">
        <v>0</v>
      </c>
      <c r="AY123" s="83">
        <v>0</v>
      </c>
      <c r="AZ123" s="88">
        <v>0.25</v>
      </c>
      <c r="BA123" s="81" t="s">
        <v>363</v>
      </c>
      <c r="BB123" s="634"/>
      <c r="BC123" s="85"/>
      <c r="BD123" s="640"/>
      <c r="BE123" s="83">
        <v>0</v>
      </c>
      <c r="BF123" s="83">
        <v>0</v>
      </c>
      <c r="BG123" s="83">
        <v>0</v>
      </c>
      <c r="BH123" s="83">
        <v>0</v>
      </c>
      <c r="BI123" s="13">
        <f t="shared" si="41"/>
        <v>0</v>
      </c>
      <c r="BJ123" s="13" t="str">
        <f t="shared" si="42"/>
        <v>No Prog ni Ejec</v>
      </c>
      <c r="BK123" s="17">
        <f t="shared" si="43"/>
        <v>0</v>
      </c>
      <c r="BL123" s="13" t="str">
        <f t="shared" si="44"/>
        <v>No Prog ni Ejec</v>
      </c>
      <c r="BM123" s="15">
        <f t="shared" si="45"/>
        <v>0</v>
      </c>
      <c r="BN123" s="13" t="str">
        <f t="shared" si="46"/>
        <v>No Prog ni Ejec</v>
      </c>
      <c r="BO123" s="13">
        <f t="shared" si="47"/>
        <v>0</v>
      </c>
      <c r="BP123" s="13" t="str">
        <f t="shared" si="48"/>
        <v>No Prog ni Ejec</v>
      </c>
      <c r="BQ123" s="1"/>
    </row>
    <row r="124" spans="1:69" s="18" customFormat="1" ht="180" x14ac:dyDescent="0.25">
      <c r="A124" s="80">
        <v>11900</v>
      </c>
      <c r="B124" s="79" t="s">
        <v>349</v>
      </c>
      <c r="C124" s="80" t="s">
        <v>357</v>
      </c>
      <c r="D124" s="79" t="s">
        <v>146</v>
      </c>
      <c r="E124" s="80" t="s">
        <v>439</v>
      </c>
      <c r="F124" s="79" t="s">
        <v>715</v>
      </c>
      <c r="G124" s="80" t="s">
        <v>123</v>
      </c>
      <c r="H124" s="93">
        <v>1</v>
      </c>
      <c r="I124" s="80" t="s">
        <v>462</v>
      </c>
      <c r="J124" s="81" t="s">
        <v>691</v>
      </c>
      <c r="K124" s="634"/>
      <c r="L124" s="637"/>
      <c r="M124" s="84" t="s">
        <v>46</v>
      </c>
      <c r="N124" s="84" t="s">
        <v>74</v>
      </c>
      <c r="O124" s="84" t="s">
        <v>21</v>
      </c>
      <c r="P124" s="84" t="s">
        <v>36</v>
      </c>
      <c r="Q124" s="84" t="s">
        <v>229</v>
      </c>
      <c r="R124" s="85"/>
      <c r="S124" s="89" t="s">
        <v>442</v>
      </c>
      <c r="T124" s="84" t="s">
        <v>99</v>
      </c>
      <c r="U124" s="88">
        <v>1</v>
      </c>
      <c r="V124" s="81" t="s">
        <v>691</v>
      </c>
      <c r="W124" s="82">
        <v>690412896</v>
      </c>
      <c r="X124" s="78" t="s">
        <v>114</v>
      </c>
      <c r="Y124" s="88">
        <v>0.25</v>
      </c>
      <c r="Z124" s="81" t="s">
        <v>691</v>
      </c>
      <c r="AA124" s="634"/>
      <c r="AB124" s="85"/>
      <c r="AC124" s="640"/>
      <c r="AD124" s="83">
        <v>0</v>
      </c>
      <c r="AE124" s="83">
        <v>0</v>
      </c>
      <c r="AF124" s="83">
        <v>0</v>
      </c>
      <c r="AG124" s="83">
        <v>0</v>
      </c>
      <c r="AH124" s="88">
        <v>0.25</v>
      </c>
      <c r="AI124" s="81" t="s">
        <v>691</v>
      </c>
      <c r="AJ124" s="634"/>
      <c r="AK124" s="85"/>
      <c r="AL124" s="643"/>
      <c r="AM124" s="83">
        <v>0</v>
      </c>
      <c r="AN124" s="83">
        <v>0</v>
      </c>
      <c r="AO124" s="83">
        <v>0</v>
      </c>
      <c r="AP124" s="87">
        <v>0</v>
      </c>
      <c r="AQ124" s="88">
        <v>0.25</v>
      </c>
      <c r="AR124" s="81" t="s">
        <v>691</v>
      </c>
      <c r="AS124" s="634"/>
      <c r="AT124" s="85"/>
      <c r="AU124" s="640"/>
      <c r="AV124" s="83">
        <v>0</v>
      </c>
      <c r="AW124" s="83">
        <v>0</v>
      </c>
      <c r="AX124" s="83">
        <v>0</v>
      </c>
      <c r="AY124" s="83">
        <v>0</v>
      </c>
      <c r="AZ124" s="88">
        <v>0.25</v>
      </c>
      <c r="BA124" s="81" t="s">
        <v>691</v>
      </c>
      <c r="BB124" s="634"/>
      <c r="BC124" s="85"/>
      <c r="BD124" s="640"/>
      <c r="BE124" s="83">
        <v>0</v>
      </c>
      <c r="BF124" s="83">
        <v>0</v>
      </c>
      <c r="BG124" s="83">
        <v>0</v>
      </c>
      <c r="BH124" s="83">
        <v>0</v>
      </c>
      <c r="BI124" s="13"/>
      <c r="BJ124" s="13"/>
      <c r="BK124" s="17"/>
      <c r="BL124" s="13"/>
      <c r="BM124" s="15"/>
      <c r="BN124" s="13"/>
      <c r="BO124" s="13"/>
      <c r="BP124" s="13"/>
      <c r="BQ124" s="1"/>
    </row>
    <row r="125" spans="1:69" s="18" customFormat="1" ht="210" x14ac:dyDescent="0.25">
      <c r="A125" s="80">
        <v>11900</v>
      </c>
      <c r="B125" s="79" t="s">
        <v>349</v>
      </c>
      <c r="C125" s="80" t="s">
        <v>357</v>
      </c>
      <c r="D125" s="79" t="s">
        <v>146</v>
      </c>
      <c r="E125" s="80" t="s">
        <v>439</v>
      </c>
      <c r="F125" s="79" t="s">
        <v>715</v>
      </c>
      <c r="G125" s="80" t="s">
        <v>123</v>
      </c>
      <c r="H125" s="93">
        <v>1</v>
      </c>
      <c r="I125" s="80" t="s">
        <v>718</v>
      </c>
      <c r="J125" s="81" t="s">
        <v>444</v>
      </c>
      <c r="K125" s="635"/>
      <c r="L125" s="638"/>
      <c r="M125" s="84" t="s">
        <v>46</v>
      </c>
      <c r="N125" s="84" t="s">
        <v>74</v>
      </c>
      <c r="O125" s="84" t="s">
        <v>21</v>
      </c>
      <c r="P125" s="84" t="s">
        <v>36</v>
      </c>
      <c r="Q125" s="84" t="s">
        <v>229</v>
      </c>
      <c r="R125" s="85"/>
      <c r="S125" s="89" t="s">
        <v>694</v>
      </c>
      <c r="T125" s="84" t="s">
        <v>99</v>
      </c>
      <c r="U125" s="88">
        <v>1</v>
      </c>
      <c r="V125" s="79" t="s">
        <v>444</v>
      </c>
      <c r="W125" s="82">
        <v>690412896</v>
      </c>
      <c r="X125" s="78" t="s">
        <v>114</v>
      </c>
      <c r="Y125" s="88">
        <v>0.25</v>
      </c>
      <c r="Z125" s="79" t="s">
        <v>444</v>
      </c>
      <c r="AA125" s="635"/>
      <c r="AB125" s="85"/>
      <c r="AC125" s="641"/>
      <c r="AD125" s="83">
        <v>0</v>
      </c>
      <c r="AE125" s="83">
        <v>0</v>
      </c>
      <c r="AF125" s="83">
        <v>0</v>
      </c>
      <c r="AG125" s="83">
        <v>0</v>
      </c>
      <c r="AH125" s="88">
        <v>0.25</v>
      </c>
      <c r="AI125" s="79" t="s">
        <v>444</v>
      </c>
      <c r="AJ125" s="635"/>
      <c r="AK125" s="85"/>
      <c r="AL125" s="644"/>
      <c r="AM125" s="83">
        <v>0</v>
      </c>
      <c r="AN125" s="83">
        <v>0</v>
      </c>
      <c r="AO125" s="83">
        <v>0</v>
      </c>
      <c r="AP125" s="87">
        <v>0</v>
      </c>
      <c r="AQ125" s="88">
        <v>0.25</v>
      </c>
      <c r="AR125" s="79" t="s">
        <v>444</v>
      </c>
      <c r="AS125" s="635"/>
      <c r="AT125" s="85"/>
      <c r="AU125" s="641"/>
      <c r="AV125" s="83">
        <v>0</v>
      </c>
      <c r="AW125" s="83">
        <v>0</v>
      </c>
      <c r="AX125" s="83">
        <v>0</v>
      </c>
      <c r="AY125" s="83">
        <v>0</v>
      </c>
      <c r="AZ125" s="88">
        <v>0.25</v>
      </c>
      <c r="BA125" s="79" t="s">
        <v>444</v>
      </c>
      <c r="BB125" s="635"/>
      <c r="BC125" s="85"/>
      <c r="BD125" s="641"/>
      <c r="BE125" s="83">
        <v>0</v>
      </c>
      <c r="BF125" s="83">
        <v>0</v>
      </c>
      <c r="BG125" s="83">
        <v>0</v>
      </c>
      <c r="BH125" s="83">
        <v>0</v>
      </c>
      <c r="BI125" s="13"/>
      <c r="BJ125" s="13"/>
      <c r="BK125" s="17"/>
      <c r="BL125" s="13"/>
      <c r="BM125" s="15"/>
      <c r="BN125" s="13"/>
      <c r="BO125" s="13"/>
      <c r="BP125" s="13"/>
      <c r="BQ125" s="1"/>
    </row>
    <row r="126" spans="1:69" s="18" customFormat="1" ht="240" x14ac:dyDescent="0.25">
      <c r="A126" s="80">
        <v>11900</v>
      </c>
      <c r="B126" s="79" t="s">
        <v>349</v>
      </c>
      <c r="C126" s="80" t="s">
        <v>357</v>
      </c>
      <c r="D126" s="79" t="s">
        <v>146</v>
      </c>
      <c r="E126" s="80" t="s">
        <v>373</v>
      </c>
      <c r="F126" s="79" t="s">
        <v>364</v>
      </c>
      <c r="G126" s="80" t="s">
        <v>123</v>
      </c>
      <c r="H126" s="93">
        <v>1</v>
      </c>
      <c r="I126" s="80" t="s">
        <v>460</v>
      </c>
      <c r="J126" s="81" t="s">
        <v>368</v>
      </c>
      <c r="K126" s="633">
        <f>+'[1]Plan Adquisiciones'!G77+'[1]Plan Adquisiciones'!G78+'[1]Plan Adquisiciones'!G174+'[1]Plan Adquisiciones'!G175+'[1]Plan Adquisiciones'!G184+'[1]Plan Adquisiciones'!G89</f>
        <v>151084884</v>
      </c>
      <c r="L126" s="636">
        <v>1</v>
      </c>
      <c r="M126" s="84" t="s">
        <v>46</v>
      </c>
      <c r="N126" s="84" t="s">
        <v>74</v>
      </c>
      <c r="O126" s="84" t="s">
        <v>21</v>
      </c>
      <c r="P126" s="84" t="s">
        <v>36</v>
      </c>
      <c r="Q126" s="84" t="s">
        <v>229</v>
      </c>
      <c r="R126" s="85"/>
      <c r="S126" s="89" t="s">
        <v>695</v>
      </c>
      <c r="T126" s="84" t="s">
        <v>99</v>
      </c>
      <c r="U126" s="88">
        <v>1</v>
      </c>
      <c r="V126" s="81" t="s">
        <v>368</v>
      </c>
      <c r="W126" s="82">
        <v>144058352</v>
      </c>
      <c r="X126" s="78" t="s">
        <v>114</v>
      </c>
      <c r="Y126" s="88">
        <v>0.25</v>
      </c>
      <c r="Z126" s="81" t="s">
        <v>368</v>
      </c>
      <c r="AA126" s="633">
        <v>36014588</v>
      </c>
      <c r="AB126" s="85"/>
      <c r="AC126" s="639"/>
      <c r="AD126" s="83">
        <v>0</v>
      </c>
      <c r="AE126" s="83">
        <v>0</v>
      </c>
      <c r="AF126" s="83">
        <v>0</v>
      </c>
      <c r="AG126" s="83">
        <v>0</v>
      </c>
      <c r="AH126" s="88">
        <v>0.25</v>
      </c>
      <c r="AI126" s="81" t="s">
        <v>368</v>
      </c>
      <c r="AJ126" s="633">
        <v>36014588</v>
      </c>
      <c r="AK126" s="85"/>
      <c r="AL126" s="639"/>
      <c r="AM126" s="83">
        <v>0</v>
      </c>
      <c r="AN126" s="83">
        <v>0</v>
      </c>
      <c r="AO126" s="83">
        <v>0</v>
      </c>
      <c r="AP126" s="87">
        <v>0</v>
      </c>
      <c r="AQ126" s="88">
        <v>0.25</v>
      </c>
      <c r="AR126" s="81" t="s">
        <v>368</v>
      </c>
      <c r="AS126" s="633">
        <v>36014588</v>
      </c>
      <c r="AT126" s="85"/>
      <c r="AU126" s="639"/>
      <c r="AV126" s="83">
        <v>0</v>
      </c>
      <c r="AW126" s="83">
        <v>0</v>
      </c>
      <c r="AX126" s="83">
        <v>0</v>
      </c>
      <c r="AY126" s="83">
        <v>0</v>
      </c>
      <c r="AZ126" s="88">
        <v>0.25</v>
      </c>
      <c r="BA126" s="81" t="s">
        <v>368</v>
      </c>
      <c r="BB126" s="633">
        <v>36014588</v>
      </c>
      <c r="BC126" s="85"/>
      <c r="BD126" s="639"/>
      <c r="BE126" s="83">
        <v>0</v>
      </c>
      <c r="BF126" s="83">
        <v>0</v>
      </c>
      <c r="BG126" s="83">
        <v>0</v>
      </c>
      <c r="BH126" s="83">
        <v>0</v>
      </c>
      <c r="BI126" s="13">
        <f t="shared" si="41"/>
        <v>0</v>
      </c>
      <c r="BJ126" s="13">
        <f t="shared" si="42"/>
        <v>0</v>
      </c>
      <c r="BK126" s="17">
        <f t="shared" si="43"/>
        <v>0</v>
      </c>
      <c r="BL126" s="13">
        <f t="shared" si="44"/>
        <v>0</v>
      </c>
      <c r="BM126" s="15">
        <f t="shared" si="45"/>
        <v>0</v>
      </c>
      <c r="BN126" s="13">
        <f t="shared" si="46"/>
        <v>0</v>
      </c>
      <c r="BO126" s="13">
        <f t="shared" si="47"/>
        <v>0</v>
      </c>
      <c r="BP126" s="13">
        <f t="shared" si="48"/>
        <v>0</v>
      </c>
      <c r="BQ126" s="1"/>
    </row>
    <row r="127" spans="1:69" s="18" customFormat="1" ht="195" x14ac:dyDescent="0.25">
      <c r="A127" s="80">
        <v>11900</v>
      </c>
      <c r="B127" s="79" t="s">
        <v>349</v>
      </c>
      <c r="C127" s="80" t="s">
        <v>357</v>
      </c>
      <c r="D127" s="79" t="s">
        <v>146</v>
      </c>
      <c r="E127" s="80" t="s">
        <v>435</v>
      </c>
      <c r="F127" s="79" t="s">
        <v>365</v>
      </c>
      <c r="G127" s="80" t="s">
        <v>123</v>
      </c>
      <c r="H127" s="93">
        <v>1</v>
      </c>
      <c r="I127" s="80" t="s">
        <v>461</v>
      </c>
      <c r="J127" s="81" t="s">
        <v>369</v>
      </c>
      <c r="K127" s="634"/>
      <c r="L127" s="637"/>
      <c r="M127" s="84" t="s">
        <v>46</v>
      </c>
      <c r="N127" s="84" t="s">
        <v>74</v>
      </c>
      <c r="O127" s="84" t="s">
        <v>21</v>
      </c>
      <c r="P127" s="84" t="s">
        <v>36</v>
      </c>
      <c r="Q127" s="84" t="s">
        <v>229</v>
      </c>
      <c r="R127" s="85"/>
      <c r="S127" s="89" t="s">
        <v>696</v>
      </c>
      <c r="T127" s="84" t="s">
        <v>99</v>
      </c>
      <c r="U127" s="88">
        <v>1</v>
      </c>
      <c r="V127" s="81" t="s">
        <v>369</v>
      </c>
      <c r="W127" s="82">
        <v>144058352</v>
      </c>
      <c r="X127" s="78" t="s">
        <v>114</v>
      </c>
      <c r="Y127" s="88">
        <v>0.25</v>
      </c>
      <c r="Z127" s="81" t="s">
        <v>369</v>
      </c>
      <c r="AA127" s="634"/>
      <c r="AB127" s="85"/>
      <c r="AC127" s="640"/>
      <c r="AD127" s="83">
        <v>0</v>
      </c>
      <c r="AE127" s="83">
        <v>0</v>
      </c>
      <c r="AF127" s="83">
        <v>0</v>
      </c>
      <c r="AG127" s="83">
        <v>0</v>
      </c>
      <c r="AH127" s="88">
        <v>0.25</v>
      </c>
      <c r="AI127" s="81" t="s">
        <v>369</v>
      </c>
      <c r="AJ127" s="634"/>
      <c r="AK127" s="85"/>
      <c r="AL127" s="640"/>
      <c r="AM127" s="83">
        <v>0</v>
      </c>
      <c r="AN127" s="83">
        <v>0</v>
      </c>
      <c r="AO127" s="83">
        <v>0</v>
      </c>
      <c r="AP127" s="87">
        <v>0</v>
      </c>
      <c r="AQ127" s="88">
        <v>0.25</v>
      </c>
      <c r="AR127" s="81" t="s">
        <v>369</v>
      </c>
      <c r="AS127" s="634"/>
      <c r="AT127" s="85"/>
      <c r="AU127" s="640"/>
      <c r="AV127" s="83">
        <v>0</v>
      </c>
      <c r="AW127" s="83">
        <v>0</v>
      </c>
      <c r="AX127" s="83">
        <v>0</v>
      </c>
      <c r="AY127" s="83">
        <v>0</v>
      </c>
      <c r="AZ127" s="88">
        <v>0.25</v>
      </c>
      <c r="BA127" s="81" t="s">
        <v>369</v>
      </c>
      <c r="BB127" s="634"/>
      <c r="BC127" s="85"/>
      <c r="BD127" s="640"/>
      <c r="BE127" s="83">
        <v>0</v>
      </c>
      <c r="BF127" s="83">
        <v>0</v>
      </c>
      <c r="BG127" s="83">
        <v>0</v>
      </c>
      <c r="BH127" s="83">
        <v>0</v>
      </c>
      <c r="BI127" s="13">
        <f t="shared" si="41"/>
        <v>0</v>
      </c>
      <c r="BJ127" s="13" t="str">
        <f t="shared" si="42"/>
        <v>No Prog ni Ejec</v>
      </c>
      <c r="BK127" s="17">
        <f t="shared" si="43"/>
        <v>0</v>
      </c>
      <c r="BL127" s="13" t="str">
        <f t="shared" si="44"/>
        <v>No Prog ni Ejec</v>
      </c>
      <c r="BM127" s="15">
        <f t="shared" si="45"/>
        <v>0</v>
      </c>
      <c r="BN127" s="13" t="str">
        <f t="shared" si="46"/>
        <v>No Prog ni Ejec</v>
      </c>
      <c r="BO127" s="13">
        <f t="shared" si="47"/>
        <v>0</v>
      </c>
      <c r="BP127" s="13" t="str">
        <f t="shared" si="48"/>
        <v>No Prog ni Ejec</v>
      </c>
      <c r="BQ127" s="1"/>
    </row>
    <row r="128" spans="1:69" s="18" customFormat="1" ht="135" x14ac:dyDescent="0.25">
      <c r="A128" s="80">
        <v>11900</v>
      </c>
      <c r="B128" s="79" t="s">
        <v>349</v>
      </c>
      <c r="C128" s="80" t="s">
        <v>357</v>
      </c>
      <c r="D128" s="79" t="s">
        <v>146</v>
      </c>
      <c r="E128" s="80" t="s">
        <v>443</v>
      </c>
      <c r="F128" s="79" t="s">
        <v>568</v>
      </c>
      <c r="G128" s="80" t="s">
        <v>123</v>
      </c>
      <c r="H128" s="93">
        <v>1</v>
      </c>
      <c r="I128" s="80" t="s">
        <v>548</v>
      </c>
      <c r="J128" s="81" t="s">
        <v>697</v>
      </c>
      <c r="K128" s="635"/>
      <c r="L128" s="638"/>
      <c r="M128" s="84" t="s">
        <v>46</v>
      </c>
      <c r="N128" s="84" t="s">
        <v>74</v>
      </c>
      <c r="O128" s="84" t="s">
        <v>21</v>
      </c>
      <c r="P128" s="84" t="s">
        <v>36</v>
      </c>
      <c r="Q128" s="84" t="s">
        <v>229</v>
      </c>
      <c r="R128" s="85"/>
      <c r="S128" s="89" t="s">
        <v>698</v>
      </c>
      <c r="T128" s="84" t="s">
        <v>99</v>
      </c>
      <c r="U128" s="88">
        <v>1</v>
      </c>
      <c r="V128" s="79" t="s">
        <v>697</v>
      </c>
      <c r="W128" s="82">
        <v>144058352</v>
      </c>
      <c r="X128" s="78" t="s">
        <v>114</v>
      </c>
      <c r="Y128" s="88">
        <v>0.25</v>
      </c>
      <c r="Z128" s="79" t="s">
        <v>697</v>
      </c>
      <c r="AA128" s="635"/>
      <c r="AB128" s="85"/>
      <c r="AC128" s="641"/>
      <c r="AD128" s="83">
        <v>0</v>
      </c>
      <c r="AE128" s="83">
        <v>0</v>
      </c>
      <c r="AF128" s="83">
        <v>0</v>
      </c>
      <c r="AG128" s="83">
        <v>0</v>
      </c>
      <c r="AH128" s="88">
        <v>0.25</v>
      </c>
      <c r="AI128" s="79" t="s">
        <v>697</v>
      </c>
      <c r="AJ128" s="635"/>
      <c r="AK128" s="85"/>
      <c r="AL128" s="641"/>
      <c r="AM128" s="83">
        <v>0</v>
      </c>
      <c r="AN128" s="83">
        <v>0</v>
      </c>
      <c r="AO128" s="83">
        <v>0</v>
      </c>
      <c r="AP128" s="87">
        <v>0</v>
      </c>
      <c r="AQ128" s="88">
        <v>0.25</v>
      </c>
      <c r="AR128" s="79" t="s">
        <v>697</v>
      </c>
      <c r="AS128" s="635"/>
      <c r="AT128" s="85"/>
      <c r="AU128" s="641"/>
      <c r="AV128" s="83">
        <v>0</v>
      </c>
      <c r="AW128" s="83">
        <v>0</v>
      </c>
      <c r="AX128" s="83">
        <v>0</v>
      </c>
      <c r="AY128" s="83">
        <v>0</v>
      </c>
      <c r="AZ128" s="88">
        <v>0.25</v>
      </c>
      <c r="BA128" s="79" t="s">
        <v>697</v>
      </c>
      <c r="BB128" s="635"/>
      <c r="BC128" s="85"/>
      <c r="BD128" s="641"/>
      <c r="BE128" s="83">
        <v>0</v>
      </c>
      <c r="BF128" s="83">
        <v>0</v>
      </c>
      <c r="BG128" s="83">
        <v>0</v>
      </c>
      <c r="BH128" s="83">
        <v>0</v>
      </c>
      <c r="BI128" s="13"/>
      <c r="BJ128" s="13"/>
      <c r="BK128" s="17"/>
      <c r="BL128" s="13"/>
      <c r="BM128" s="15"/>
      <c r="BN128" s="13"/>
      <c r="BO128" s="13"/>
      <c r="BP128" s="13"/>
      <c r="BQ128" s="1"/>
    </row>
    <row r="129" spans="1:69" s="18" customFormat="1" ht="105" x14ac:dyDescent="0.25">
      <c r="A129" s="80">
        <v>11900</v>
      </c>
      <c r="B129" s="79" t="str">
        <f>+VLOOKUP(A129,'[5]TAB. REF. PA'!$A$4:$B$14,2,FALSE)</f>
        <v>Oficina Asesora Jurídica</v>
      </c>
      <c r="C129" s="80" t="s">
        <v>357</v>
      </c>
      <c r="D129" s="79" t="s">
        <v>146</v>
      </c>
      <c r="E129" s="80" t="s">
        <v>447</v>
      </c>
      <c r="F129" s="79" t="s">
        <v>448</v>
      </c>
      <c r="G129" s="80" t="s">
        <v>123</v>
      </c>
      <c r="H129" s="93">
        <v>1</v>
      </c>
      <c r="I129" s="80" t="s">
        <v>463</v>
      </c>
      <c r="J129" s="81" t="s">
        <v>551</v>
      </c>
      <c r="K129" s="82">
        <f>542477052+'[1]Plan Adquisiciones'!G76+'[1]Plan Adquisiciones'!G173</f>
        <v>595641936</v>
      </c>
      <c r="L129" s="88">
        <v>1</v>
      </c>
      <c r="M129" s="84" t="s">
        <v>46</v>
      </c>
      <c r="N129" s="84" t="s">
        <v>74</v>
      </c>
      <c r="O129" s="84" t="s">
        <v>21</v>
      </c>
      <c r="P129" s="84" t="s">
        <v>36</v>
      </c>
      <c r="Q129" s="84" t="s">
        <v>229</v>
      </c>
      <c r="R129" s="85"/>
      <c r="S129" s="125"/>
      <c r="T129" s="84" t="s">
        <v>99</v>
      </c>
      <c r="U129" s="88">
        <v>1</v>
      </c>
      <c r="V129" s="79" t="str">
        <f>+$J$125</f>
        <v>Presentación de fichas técnicas de demandas ordinarias laborales  presentadas al Comité de Conciliación</v>
      </c>
      <c r="W129" s="82">
        <f>+K129</f>
        <v>595641936</v>
      </c>
      <c r="X129" s="78" t="s">
        <v>114</v>
      </c>
      <c r="Y129" s="88">
        <v>0.25</v>
      </c>
      <c r="Z129" s="79" t="str">
        <f>+$J$125</f>
        <v>Presentación de fichas técnicas de demandas ordinarias laborales  presentadas al Comité de Conciliación</v>
      </c>
      <c r="AA129" s="82" t="e">
        <f>+VLOOKUP($I$125,'[5]Plan Adquisiciones'!$Z$5:$AD$47,5,FALSE)</f>
        <v>#N/A</v>
      </c>
      <c r="AB129" s="94"/>
      <c r="AC129" s="85"/>
      <c r="AD129" s="83">
        <f t="shared" si="25"/>
        <v>0</v>
      </c>
      <c r="AE129" s="83" t="e">
        <f t="shared" si="26"/>
        <v>#N/A</v>
      </c>
      <c r="AF129" s="83">
        <f t="shared" si="27"/>
        <v>0</v>
      </c>
      <c r="AG129" s="83">
        <f t="shared" si="28"/>
        <v>0</v>
      </c>
      <c r="AH129" s="88">
        <v>0.25</v>
      </c>
      <c r="AI129" s="79" t="str">
        <f>+$J$125</f>
        <v>Presentación de fichas técnicas de demandas ordinarias laborales  presentadas al Comité de Conciliación</v>
      </c>
      <c r="AJ129" s="82" t="e">
        <f>+VLOOKUP($I$125,'[5]Plan Adquisiciones'!$Z$5:$AE$47,6,FALSE)</f>
        <v>#N/A</v>
      </c>
      <c r="AK129" s="85"/>
      <c r="AL129" s="85"/>
      <c r="AM129" s="83">
        <f t="shared" si="29"/>
        <v>0</v>
      </c>
      <c r="AN129" s="83" t="e">
        <f t="shared" si="30"/>
        <v>#N/A</v>
      </c>
      <c r="AO129" s="83">
        <f t="shared" si="31"/>
        <v>0</v>
      </c>
      <c r="AP129" s="87">
        <f t="shared" si="32"/>
        <v>0</v>
      </c>
      <c r="AQ129" s="88">
        <v>0.25</v>
      </c>
      <c r="AR129" s="79" t="str">
        <f>+$J$125</f>
        <v>Presentación de fichas técnicas de demandas ordinarias laborales  presentadas al Comité de Conciliación</v>
      </c>
      <c r="AS129" s="82" t="e">
        <f>+VLOOKUP($I$125,'[5]Plan Adquisiciones'!$Z$5:$AF$47,7,FALSE)</f>
        <v>#N/A</v>
      </c>
      <c r="AT129" s="94"/>
      <c r="AU129" s="85"/>
      <c r="AV129" s="83">
        <f t="shared" si="33"/>
        <v>0</v>
      </c>
      <c r="AW129" s="83" t="e">
        <f t="shared" si="34"/>
        <v>#N/A</v>
      </c>
      <c r="AX129" s="83">
        <f t="shared" si="35"/>
        <v>0</v>
      </c>
      <c r="AY129" s="83">
        <f t="shared" si="36"/>
        <v>0</v>
      </c>
      <c r="AZ129" s="88">
        <v>0.25</v>
      </c>
      <c r="BA129" s="79" t="str">
        <f>+$J$125</f>
        <v>Presentación de fichas técnicas de demandas ordinarias laborales  presentadas al Comité de Conciliación</v>
      </c>
      <c r="BB129" s="82" t="e">
        <f>+VLOOKUP($I$125,'[5]Plan Adquisiciones'!$Z$5:$AG$47,8,FALSE)</f>
        <v>#N/A</v>
      </c>
      <c r="BC129" s="85"/>
      <c r="BD129" s="85"/>
      <c r="BE129" s="83">
        <f t="shared" si="37"/>
        <v>0</v>
      </c>
      <c r="BF129" s="83" t="e">
        <f t="shared" si="38"/>
        <v>#N/A</v>
      </c>
      <c r="BG129" s="83">
        <f t="shared" si="39"/>
        <v>0</v>
      </c>
      <c r="BH129" s="83">
        <f t="shared" si="40"/>
        <v>0</v>
      </c>
      <c r="BI129" s="13">
        <f t="shared" ref="BI129:BI131" si="92">IF(AND(Y129=0,AB129=0),"No Prog ni Ejec",IF(Y129=0,CONCATENATE("No Prog, Ejec=  ",AB129),AB129/Y129))</f>
        <v>0</v>
      </c>
      <c r="BJ129" s="13" t="e">
        <f t="shared" ref="BJ129:BJ131" si="93">IF(AND(AA129=0,AC129=0),"No Prog ni Ejec",IF(AA129=0,CONCATENATE("No Prog, Ejec=  ",AC129),AC129/AA129))</f>
        <v>#N/A</v>
      </c>
      <c r="BK129" s="17">
        <f t="shared" ref="BK129:BK131" si="94">IF(AND(AH129=0,AK129=0),"No Prog ni Ejec",IF(AH129=0,CONCATENATE("No Prog, Ejec=  ",AK129),AK129/AH129))</f>
        <v>0</v>
      </c>
      <c r="BL129" s="13" t="e">
        <f t="shared" ref="BL129:BL131" si="95">IF(AND(AJ129=0,AL129=0),"No Prog ni Ejec",IF(AJ129=0,CONCATENATE("No Prog, Ejec=  ",AL129),AL129/AJ129))</f>
        <v>#N/A</v>
      </c>
      <c r="BM129" s="15">
        <f t="shared" ref="BM129:BM131" si="96">IF(AND(AQ129=0,AT129=0),"No Prog ni Ejec",IF(AQ129=0,CONCATENATE("No Prog, Ejec=  ",AT129),AT129/AQ129))</f>
        <v>0</v>
      </c>
      <c r="BN129" s="13" t="e">
        <f t="shared" ref="BN129:BN131" si="97">IF(AND(AS129=0,AU129=0),"No Prog ni Ejec",IF(AS129=0,CONCATENATE("No Prog, Ejec=  ",AU129),AU129/AS129))</f>
        <v>#N/A</v>
      </c>
      <c r="BO129" s="13">
        <f t="shared" ref="BO129:BO131" si="98">IF(AND(AZ129=0,BC129=0),"No Prog ni Ejec",IF(AZ129=0,CONCATENATE("No Prog, Ejec=  ",BC129),BC129/AZ129))</f>
        <v>0</v>
      </c>
      <c r="BP129" s="13" t="e">
        <f t="shared" ref="BP129:BP131" si="99">IF(AND(BB129=0,BD129=0),"No Prog ni Ejec",IF(BB129=0,CONCATENATE("No Prog, Ejec=  ",BD129),BD129/BB129))</f>
        <v>#N/A</v>
      </c>
      <c r="BQ129" s="1"/>
    </row>
    <row r="130" spans="1:69" s="18" customFormat="1" ht="105" x14ac:dyDescent="0.25">
      <c r="A130" s="80">
        <v>11900</v>
      </c>
      <c r="B130" s="79" t="str">
        <f>+VLOOKUP(A130,'[5]TAB. REF. PA'!$A$4:$B$14,2,FALSE)</f>
        <v>Oficina Asesora Jurídica</v>
      </c>
      <c r="C130" s="80" t="s">
        <v>357</v>
      </c>
      <c r="D130" s="79" t="s">
        <v>146</v>
      </c>
      <c r="E130" s="80" t="s">
        <v>450</v>
      </c>
      <c r="F130" s="79" t="s">
        <v>449</v>
      </c>
      <c r="G130" s="80" t="s">
        <v>124</v>
      </c>
      <c r="H130" s="118">
        <v>2</v>
      </c>
      <c r="I130" s="80" t="s">
        <v>549</v>
      </c>
      <c r="J130" s="81" t="s">
        <v>699</v>
      </c>
      <c r="K130" s="82">
        <v>0</v>
      </c>
      <c r="L130" s="88">
        <v>1</v>
      </c>
      <c r="M130" s="84" t="s">
        <v>46</v>
      </c>
      <c r="N130" s="84" t="s">
        <v>74</v>
      </c>
      <c r="O130" s="84" t="s">
        <v>21</v>
      </c>
      <c r="P130" s="84" t="s">
        <v>36</v>
      </c>
      <c r="Q130" s="84" t="s">
        <v>229</v>
      </c>
      <c r="R130" s="85"/>
      <c r="S130" s="116"/>
      <c r="T130" s="84" t="s">
        <v>99</v>
      </c>
      <c r="U130" s="119">
        <v>2</v>
      </c>
      <c r="V130" s="79" t="str">
        <f>+$J$126</f>
        <v>Dar respuesta a las reclamaciones administrativas radicadas por las EPS o IPS dentro del término legal</v>
      </c>
      <c r="W130" s="82">
        <v>0</v>
      </c>
      <c r="X130" s="78" t="s">
        <v>117</v>
      </c>
      <c r="Y130" s="120">
        <v>2</v>
      </c>
      <c r="Z130" s="79" t="str">
        <f>+$J$126</f>
        <v>Dar respuesta a las reclamaciones administrativas radicadas por las EPS o IPS dentro del término legal</v>
      </c>
      <c r="AA130" s="82">
        <v>0</v>
      </c>
      <c r="AB130" s="85"/>
      <c r="AC130" s="85"/>
      <c r="AD130" s="83">
        <f t="shared" si="25"/>
        <v>0</v>
      </c>
      <c r="AE130" s="83" t="e">
        <f t="shared" si="26"/>
        <v>#DIV/0!</v>
      </c>
      <c r="AF130" s="83">
        <f t="shared" si="27"/>
        <v>0</v>
      </c>
      <c r="AG130" s="83" t="e">
        <f t="shared" si="28"/>
        <v>#DIV/0!</v>
      </c>
      <c r="AH130" s="119">
        <v>0</v>
      </c>
      <c r="AI130" s="79" t="str">
        <f>+$J$126</f>
        <v>Dar respuesta a las reclamaciones administrativas radicadas por las EPS o IPS dentro del término legal</v>
      </c>
      <c r="AJ130" s="82">
        <v>0</v>
      </c>
      <c r="AK130" s="85"/>
      <c r="AL130" s="85"/>
      <c r="AM130" s="83" t="e">
        <f t="shared" si="29"/>
        <v>#DIV/0!</v>
      </c>
      <c r="AN130" s="83" t="e">
        <f t="shared" si="30"/>
        <v>#DIV/0!</v>
      </c>
      <c r="AO130" s="83">
        <f t="shared" si="31"/>
        <v>0</v>
      </c>
      <c r="AP130" s="87" t="e">
        <f t="shared" si="32"/>
        <v>#DIV/0!</v>
      </c>
      <c r="AQ130" s="120">
        <v>0</v>
      </c>
      <c r="AR130" s="79" t="str">
        <f>+$J$126</f>
        <v>Dar respuesta a las reclamaciones administrativas radicadas por las EPS o IPS dentro del término legal</v>
      </c>
      <c r="AS130" s="82">
        <v>0</v>
      </c>
      <c r="AT130" s="85"/>
      <c r="AU130" s="85"/>
      <c r="AV130" s="83" t="e">
        <f t="shared" si="33"/>
        <v>#DIV/0!</v>
      </c>
      <c r="AW130" s="83" t="e">
        <f t="shared" si="34"/>
        <v>#DIV/0!</v>
      </c>
      <c r="AX130" s="83">
        <f t="shared" si="35"/>
        <v>0</v>
      </c>
      <c r="AY130" s="83" t="e">
        <f t="shared" si="36"/>
        <v>#DIV/0!</v>
      </c>
      <c r="AZ130" s="119">
        <v>0</v>
      </c>
      <c r="BA130" s="79" t="str">
        <f>+$J$126</f>
        <v>Dar respuesta a las reclamaciones administrativas radicadas por las EPS o IPS dentro del término legal</v>
      </c>
      <c r="BB130" s="82">
        <v>0</v>
      </c>
      <c r="BC130" s="85"/>
      <c r="BD130" s="85"/>
      <c r="BE130" s="83" t="e">
        <f t="shared" si="37"/>
        <v>#DIV/0!</v>
      </c>
      <c r="BF130" s="83" t="e">
        <f t="shared" si="38"/>
        <v>#DIV/0!</v>
      </c>
      <c r="BG130" s="83">
        <f t="shared" si="39"/>
        <v>0</v>
      </c>
      <c r="BH130" s="83" t="e">
        <f t="shared" si="40"/>
        <v>#DIV/0!</v>
      </c>
      <c r="BI130" s="13">
        <f t="shared" si="92"/>
        <v>0</v>
      </c>
      <c r="BJ130" s="13" t="str">
        <f t="shared" si="93"/>
        <v>No Prog ni Ejec</v>
      </c>
      <c r="BK130" s="17" t="str">
        <f t="shared" si="94"/>
        <v>No Prog ni Ejec</v>
      </c>
      <c r="BL130" s="13" t="str">
        <f t="shared" si="95"/>
        <v>No Prog ni Ejec</v>
      </c>
      <c r="BM130" s="15" t="str">
        <f t="shared" si="96"/>
        <v>No Prog ni Ejec</v>
      </c>
      <c r="BN130" s="13" t="str">
        <f t="shared" si="97"/>
        <v>No Prog ni Ejec</v>
      </c>
      <c r="BO130" s="13" t="str">
        <f t="shared" si="98"/>
        <v>No Prog ni Ejec</v>
      </c>
      <c r="BP130" s="13" t="str">
        <f t="shared" si="99"/>
        <v>No Prog ni Ejec</v>
      </c>
      <c r="BQ130" s="1"/>
    </row>
    <row r="131" spans="1:69" s="18" customFormat="1" ht="150" x14ac:dyDescent="0.25">
      <c r="A131" s="80">
        <v>11900</v>
      </c>
      <c r="B131" s="79" t="str">
        <f>+VLOOKUP(A131,'[5]TAB. REF. PA'!$A$4:$B$14,2,FALSE)</f>
        <v>Oficina Asesora Jurídica</v>
      </c>
      <c r="C131" s="80" t="s">
        <v>357</v>
      </c>
      <c r="D131" s="79" t="s">
        <v>146</v>
      </c>
      <c r="E131" s="80" t="s">
        <v>450</v>
      </c>
      <c r="F131" s="79" t="s">
        <v>449</v>
      </c>
      <c r="G131" s="80" t="s">
        <v>123</v>
      </c>
      <c r="H131" s="93">
        <v>1</v>
      </c>
      <c r="I131" s="80" t="s">
        <v>550</v>
      </c>
      <c r="J131" s="81" t="s">
        <v>451</v>
      </c>
      <c r="K131" s="82">
        <v>0</v>
      </c>
      <c r="L131" s="88">
        <v>1</v>
      </c>
      <c r="M131" s="84" t="s">
        <v>46</v>
      </c>
      <c r="N131" s="84" t="s">
        <v>74</v>
      </c>
      <c r="O131" s="84" t="s">
        <v>21</v>
      </c>
      <c r="P131" s="84" t="s">
        <v>36</v>
      </c>
      <c r="Q131" s="84" t="s">
        <v>229</v>
      </c>
      <c r="R131" s="85"/>
      <c r="S131" s="84" t="s">
        <v>453</v>
      </c>
      <c r="T131" s="84" t="s">
        <v>99</v>
      </c>
      <c r="U131" s="88">
        <v>1</v>
      </c>
      <c r="V131" s="79" t="str">
        <f>+$J$127</f>
        <v>Interponer oportunamente los recursos de Ley contra los actos administrativos de Colpensiones que ordenan la devolución de aportes al extinto FOYSGA, hoy Administradora de los Recursos del Sistema General de Seguridad Social en Salud - ADRES</v>
      </c>
      <c r="W131" s="82">
        <v>0</v>
      </c>
      <c r="X131" s="78" t="s">
        <v>117</v>
      </c>
      <c r="Y131" s="88">
        <v>0.5</v>
      </c>
      <c r="Z131" s="79" t="str">
        <f>+$J$127</f>
        <v>Interponer oportunamente los recursos de Ley contra los actos administrativos de Colpensiones que ordenan la devolución de aportes al extinto FOYSGA, hoy Administradora de los Recursos del Sistema General de Seguridad Social en Salud - ADRES</v>
      </c>
      <c r="AA131" s="82">
        <v>0</v>
      </c>
      <c r="AB131" s="85"/>
      <c r="AC131" s="85"/>
      <c r="AD131" s="83">
        <f t="shared" si="25"/>
        <v>0</v>
      </c>
      <c r="AE131" s="83" t="e">
        <f t="shared" si="26"/>
        <v>#DIV/0!</v>
      </c>
      <c r="AF131" s="83">
        <f t="shared" si="27"/>
        <v>0</v>
      </c>
      <c r="AG131" s="83" t="e">
        <f t="shared" si="28"/>
        <v>#DIV/0!</v>
      </c>
      <c r="AH131" s="88">
        <v>0.5</v>
      </c>
      <c r="AI131" s="79" t="str">
        <f>+$J$127</f>
        <v>Interponer oportunamente los recursos de Ley contra los actos administrativos de Colpensiones que ordenan la devolución de aportes al extinto FOYSGA, hoy Administradora de los Recursos del Sistema General de Seguridad Social en Salud - ADRES</v>
      </c>
      <c r="AJ131" s="82">
        <v>0</v>
      </c>
      <c r="AK131" s="85"/>
      <c r="AL131" s="85"/>
      <c r="AM131" s="83">
        <f t="shared" si="29"/>
        <v>0</v>
      </c>
      <c r="AN131" s="83" t="e">
        <f t="shared" si="30"/>
        <v>#DIV/0!</v>
      </c>
      <c r="AO131" s="83">
        <f t="shared" si="31"/>
        <v>0</v>
      </c>
      <c r="AP131" s="87" t="e">
        <f t="shared" si="32"/>
        <v>#DIV/0!</v>
      </c>
      <c r="AQ131" s="88">
        <v>0</v>
      </c>
      <c r="AR131" s="79" t="str">
        <f>+$J$127</f>
        <v>Interponer oportunamente los recursos de Ley contra los actos administrativos de Colpensiones que ordenan la devolución de aportes al extinto FOYSGA, hoy Administradora de los Recursos del Sistema General de Seguridad Social en Salud - ADRES</v>
      </c>
      <c r="AS131" s="82">
        <v>0</v>
      </c>
      <c r="AT131" s="85"/>
      <c r="AU131" s="85"/>
      <c r="AV131" s="83" t="e">
        <f t="shared" si="33"/>
        <v>#DIV/0!</v>
      </c>
      <c r="AW131" s="83" t="e">
        <f t="shared" si="34"/>
        <v>#DIV/0!</v>
      </c>
      <c r="AX131" s="83">
        <f t="shared" si="35"/>
        <v>0</v>
      </c>
      <c r="AY131" s="83" t="e">
        <f t="shared" si="36"/>
        <v>#DIV/0!</v>
      </c>
      <c r="AZ131" s="88">
        <v>0</v>
      </c>
      <c r="BA131" s="79" t="str">
        <f>+$J$127</f>
        <v>Interponer oportunamente los recursos de Ley contra los actos administrativos de Colpensiones que ordenan la devolución de aportes al extinto FOYSGA, hoy Administradora de los Recursos del Sistema General de Seguridad Social en Salud - ADRES</v>
      </c>
      <c r="BB131" s="82">
        <v>0</v>
      </c>
      <c r="BC131" s="85"/>
      <c r="BD131" s="85"/>
      <c r="BE131" s="83" t="e">
        <f t="shared" si="37"/>
        <v>#DIV/0!</v>
      </c>
      <c r="BF131" s="83" t="e">
        <f t="shared" si="38"/>
        <v>#DIV/0!</v>
      </c>
      <c r="BG131" s="83">
        <f t="shared" si="39"/>
        <v>0</v>
      </c>
      <c r="BH131" s="83" t="e">
        <f t="shared" si="40"/>
        <v>#DIV/0!</v>
      </c>
      <c r="BI131" s="13">
        <f t="shared" si="92"/>
        <v>0</v>
      </c>
      <c r="BJ131" s="13" t="str">
        <f t="shared" si="93"/>
        <v>No Prog ni Ejec</v>
      </c>
      <c r="BK131" s="17">
        <f t="shared" si="94"/>
        <v>0</v>
      </c>
      <c r="BL131" s="13" t="str">
        <f t="shared" si="95"/>
        <v>No Prog ni Ejec</v>
      </c>
      <c r="BM131" s="15" t="str">
        <f t="shared" si="96"/>
        <v>No Prog ni Ejec</v>
      </c>
      <c r="BN131" s="13" t="str">
        <f t="shared" si="97"/>
        <v>No Prog ni Ejec</v>
      </c>
      <c r="BO131" s="13" t="str">
        <f t="shared" si="98"/>
        <v>No Prog ni Ejec</v>
      </c>
      <c r="BP131" s="13" t="str">
        <f t="shared" si="99"/>
        <v>No Prog ni Ejec</v>
      </c>
      <c r="BQ131" s="1"/>
    </row>
    <row r="132" spans="1:69" s="18" customFormat="1" ht="150" x14ac:dyDescent="0.25">
      <c r="A132" s="80">
        <v>11900</v>
      </c>
      <c r="B132" s="79" t="str">
        <f>+VLOOKUP(A132,'[6]TAB. REF. PA'!$A$4:$B$14,2,FALSE)</f>
        <v>Oficina Asesora Jurídica</v>
      </c>
      <c r="C132" s="80" t="s">
        <v>357</v>
      </c>
      <c r="D132" s="79" t="s">
        <v>146</v>
      </c>
      <c r="E132" s="121" t="s">
        <v>450</v>
      </c>
      <c r="F132" s="79" t="s">
        <v>449</v>
      </c>
      <c r="G132" s="80" t="s">
        <v>123</v>
      </c>
      <c r="H132" s="122">
        <v>1</v>
      </c>
      <c r="I132" s="121" t="s">
        <v>464</v>
      </c>
      <c r="J132" s="81" t="s">
        <v>452</v>
      </c>
      <c r="K132" s="82">
        <v>55760808</v>
      </c>
      <c r="L132" s="83">
        <v>1</v>
      </c>
      <c r="M132" s="84" t="s">
        <v>46</v>
      </c>
      <c r="N132" s="84" t="s">
        <v>74</v>
      </c>
      <c r="O132" s="84" t="s">
        <v>21</v>
      </c>
      <c r="P132" s="84" t="s">
        <v>36</v>
      </c>
      <c r="Q132" s="84" t="s">
        <v>229</v>
      </c>
      <c r="R132" s="85"/>
      <c r="S132" s="84" t="s">
        <v>453</v>
      </c>
      <c r="T132" s="84" t="s">
        <v>99</v>
      </c>
      <c r="U132" s="83">
        <v>1</v>
      </c>
      <c r="V132" s="79" t="str">
        <f>+J132</f>
        <v>Resoluciones de depuración de actos administrativos mediante los cuales se ordena el cobro a personas fallecidas</v>
      </c>
      <c r="W132" s="82">
        <f>+K132</f>
        <v>55760808</v>
      </c>
      <c r="X132" s="78" t="s">
        <v>114</v>
      </c>
      <c r="Y132" s="83">
        <v>0.25</v>
      </c>
      <c r="Z132" s="79" t="s">
        <v>452</v>
      </c>
      <c r="AA132" s="82">
        <v>13940202</v>
      </c>
      <c r="AB132" s="85"/>
      <c r="AC132" s="85"/>
      <c r="AD132" s="83">
        <f>+(AB132/Y132)</f>
        <v>0</v>
      </c>
      <c r="AE132" s="83">
        <f>+(AC132/AA132)</f>
        <v>0</v>
      </c>
      <c r="AF132" s="83">
        <f>+(AB132/U132)</f>
        <v>0</v>
      </c>
      <c r="AG132" s="83">
        <f>+(AC132/W132)</f>
        <v>0</v>
      </c>
      <c r="AH132" s="83">
        <v>0.25</v>
      </c>
      <c r="AI132" s="79" t="s">
        <v>452</v>
      </c>
      <c r="AJ132" s="82">
        <v>13940202</v>
      </c>
      <c r="AK132" s="85"/>
      <c r="AL132" s="85"/>
      <c r="AM132" s="83">
        <f>+(AK132/AH132)</f>
        <v>0</v>
      </c>
      <c r="AN132" s="83">
        <f>+(AL132/AJ132)</f>
        <v>0</v>
      </c>
      <c r="AO132" s="83">
        <f>+(AK132+AB132)/U132</f>
        <v>0</v>
      </c>
      <c r="AP132" s="87">
        <f>+(AL132+AC132)/W132</f>
        <v>0</v>
      </c>
      <c r="AQ132" s="83">
        <v>0.25</v>
      </c>
      <c r="AR132" s="79" t="s">
        <v>452</v>
      </c>
      <c r="AS132" s="82">
        <v>13940202</v>
      </c>
      <c r="AT132" s="85"/>
      <c r="AU132" s="85"/>
      <c r="AV132" s="83">
        <f>+(AT132/AQ132)</f>
        <v>0</v>
      </c>
      <c r="AW132" s="83">
        <f>+(AU132/AS132)</f>
        <v>0</v>
      </c>
      <c r="AX132" s="83">
        <f>+(AK132+AB132+AT132)/U132</f>
        <v>0</v>
      </c>
      <c r="AY132" s="83">
        <f>+(AL132+AC132+AU132)/W132</f>
        <v>0</v>
      </c>
      <c r="AZ132" s="83">
        <v>0.25</v>
      </c>
      <c r="BA132" s="79" t="s">
        <v>452</v>
      </c>
      <c r="BB132" s="82">
        <v>13940202</v>
      </c>
      <c r="BC132" s="85"/>
      <c r="BD132" s="85"/>
      <c r="BE132" s="83">
        <f>+(BC132/AZ132)</f>
        <v>0</v>
      </c>
      <c r="BF132" s="83">
        <f>+(BD132/BB132)</f>
        <v>0</v>
      </c>
      <c r="BG132" s="83">
        <f>+(AK132+AB132+AT132+BC132)/U132</f>
        <v>0</v>
      </c>
      <c r="BH132" s="83">
        <f>+(AL132+AC132+AU132+BD132)/W132</f>
        <v>0</v>
      </c>
      <c r="BI132" s="13" t="e">
        <f>IF(AND(#REF!=0,#REF!=0),"No Prog ni Ejec",IF(#REF!=0,CONCATENATE("No Prog, Ejec=  ",#REF!),#REF!/#REF!))</f>
        <v>#REF!</v>
      </c>
      <c r="BJ132" s="13" t="e">
        <f>IF(AND(#REF!=0,#REF!=0),"No Prog ni Ejec",IF(#REF!=0,CONCATENATE("No Prog, Ejec=  ",#REF!),#REF!/#REF!))</f>
        <v>#REF!</v>
      </c>
      <c r="BK132" s="17" t="e">
        <f>IF(AND(#REF!=0,#REF!=0),"No Prog ni Ejec",IF(#REF!=0,CONCATENATE("No Prog, Ejec=  ",#REF!),#REF!/#REF!))</f>
        <v>#REF!</v>
      </c>
      <c r="BL132" s="13" t="e">
        <f>IF(AND(#REF!=0,#REF!=0),"No Prog ni Ejec",IF(#REF!=0,CONCATENATE("No Prog, Ejec=  ",#REF!),#REF!/#REF!))</f>
        <v>#REF!</v>
      </c>
      <c r="BM132" s="15" t="e">
        <f>IF(AND(#REF!=0,#REF!=0),"No Prog ni Ejec",IF(#REF!=0,CONCATENATE("No Prog, Ejec=  ",#REF!),#REF!/#REF!))</f>
        <v>#REF!</v>
      </c>
      <c r="BN132" s="13" t="e">
        <f>IF(AND(#REF!=0,#REF!=0),"No Prog ni Ejec",IF(#REF!=0,CONCATENATE("No Prog, Ejec=  ",#REF!),#REF!/#REF!))</f>
        <v>#REF!</v>
      </c>
      <c r="BO132" s="13" t="e">
        <f>IF(AND(#REF!=0,#REF!=0),"No Prog ni Ejec",IF(#REF!=0,CONCATENATE("No Prog, Ejec=  ",#REF!),#REF!/#REF!))</f>
        <v>#REF!</v>
      </c>
      <c r="BP132" s="13" t="e">
        <f>IF(AND(#REF!=0,#REF!=0),"No Prog ni Ejec",IF(#REF!=0,CONCATENATE("No Prog, Ejec=  ",#REF!),#REF!/#REF!))</f>
        <v>#REF!</v>
      </c>
      <c r="BQ132" s="1"/>
    </row>
    <row r="133" spans="1:69" s="45" customFormat="1" ht="105" x14ac:dyDescent="0.25">
      <c r="A133" s="34">
        <v>12000</v>
      </c>
      <c r="B133" s="35" t="str">
        <f>+VLOOKUP(A133,'[1]TAB. REF. PA'!$A$4:$B$14,2,FALSE)</f>
        <v>Oficina Asesora de Planeación y Control de Riegos</v>
      </c>
      <c r="C133" s="36" t="s">
        <v>131</v>
      </c>
      <c r="D133" s="35" t="s">
        <v>153</v>
      </c>
      <c r="E133" s="36" t="s">
        <v>132</v>
      </c>
      <c r="F133" s="35" t="s">
        <v>133</v>
      </c>
      <c r="G133" s="37" t="s">
        <v>124</v>
      </c>
      <c r="H133" s="36">
        <v>4</v>
      </c>
      <c r="I133" s="36" t="s">
        <v>143</v>
      </c>
      <c r="J133" s="38" t="s">
        <v>24</v>
      </c>
      <c r="K133" s="39">
        <v>0</v>
      </c>
      <c r="L133" s="40">
        <v>1</v>
      </c>
      <c r="M133" s="41" t="s">
        <v>51</v>
      </c>
      <c r="N133" s="41" t="s">
        <v>68</v>
      </c>
      <c r="O133" s="41" t="s">
        <v>21</v>
      </c>
      <c r="P133" s="41" t="s">
        <v>36</v>
      </c>
      <c r="Q133" s="41" t="s">
        <v>75</v>
      </c>
      <c r="R133" s="42"/>
      <c r="S133" s="41" t="s">
        <v>631</v>
      </c>
      <c r="T133" s="41" t="s">
        <v>98</v>
      </c>
      <c r="U133" s="51">
        <f>+H133</f>
        <v>4</v>
      </c>
      <c r="V133" s="38" t="str">
        <f>+$J$133</f>
        <v>Reportar el cumplimiento del Plan de Acción de la Dependencia</v>
      </c>
      <c r="W133" s="39">
        <v>0</v>
      </c>
      <c r="X133" s="34" t="s">
        <v>117</v>
      </c>
      <c r="Y133" s="39">
        <v>1</v>
      </c>
      <c r="Z133" s="38" t="str">
        <f>+$J$133</f>
        <v>Reportar el cumplimiento del Plan de Acción de la Dependencia</v>
      </c>
      <c r="AA133" s="39">
        <v>0</v>
      </c>
      <c r="AB133" s="39"/>
      <c r="AC133" s="39"/>
      <c r="AD133" s="40">
        <f t="shared" ref="AD133:AD137" si="100">+(AB133/Y133)</f>
        <v>0</v>
      </c>
      <c r="AE133" s="40" t="e">
        <f t="shared" ref="AE133:AE137" si="101">+(AC133/AA133)</f>
        <v>#DIV/0!</v>
      </c>
      <c r="AF133" s="40">
        <f t="shared" ref="AF133:AF137" si="102">+(AB133/U133)</f>
        <v>0</v>
      </c>
      <c r="AG133" s="40" t="e">
        <f t="shared" ref="AG133:AG137" si="103">+(AC133/W133)</f>
        <v>#DIV/0!</v>
      </c>
      <c r="AH133" s="39">
        <v>1</v>
      </c>
      <c r="AI133" s="38" t="str">
        <f>+$J$133</f>
        <v>Reportar el cumplimiento del Plan de Acción de la Dependencia</v>
      </c>
      <c r="AJ133" s="39">
        <v>0</v>
      </c>
      <c r="AK133" s="39"/>
      <c r="AL133" s="39"/>
      <c r="AM133" s="40">
        <f t="shared" ref="AM133:AM137" si="104">+(AK133/AH133)</f>
        <v>0</v>
      </c>
      <c r="AN133" s="40" t="e">
        <f t="shared" ref="AN133:AN137" si="105">+(AL133/AJ133)</f>
        <v>#DIV/0!</v>
      </c>
      <c r="AO133" s="40">
        <f t="shared" ref="AO133:AO137" si="106">+(AK133+AB133)/U133</f>
        <v>0</v>
      </c>
      <c r="AP133" s="43" t="e">
        <f t="shared" ref="AP133:AP137" si="107">+(AL133+AC133)/W133</f>
        <v>#DIV/0!</v>
      </c>
      <c r="AQ133" s="39">
        <v>1</v>
      </c>
      <c r="AR133" s="38" t="str">
        <f>+$J$133</f>
        <v>Reportar el cumplimiento del Plan de Acción de la Dependencia</v>
      </c>
      <c r="AS133" s="39">
        <v>0</v>
      </c>
      <c r="AT133" s="39"/>
      <c r="AU133" s="39"/>
      <c r="AV133" s="40">
        <f t="shared" ref="AV133:AV137" si="108">+(AT133/AQ133)</f>
        <v>0</v>
      </c>
      <c r="AW133" s="40" t="e">
        <f t="shared" ref="AW133:AW137" si="109">+(AU133/AS133)</f>
        <v>#DIV/0!</v>
      </c>
      <c r="AX133" s="40">
        <f t="shared" ref="AX133:AX137" si="110">+(AK133+AB133+AT133)/U133</f>
        <v>0</v>
      </c>
      <c r="AY133" s="40" t="e">
        <f t="shared" ref="AY133:AY137" si="111">+(AL133+AC133+AU133)/W133</f>
        <v>#DIV/0!</v>
      </c>
      <c r="AZ133" s="39">
        <v>1</v>
      </c>
      <c r="BA133" s="38" t="str">
        <f>+$J$133</f>
        <v>Reportar el cumplimiento del Plan de Acción de la Dependencia</v>
      </c>
      <c r="BB133" s="39">
        <v>0</v>
      </c>
      <c r="BC133" s="39"/>
      <c r="BD133" s="39"/>
      <c r="BE133" s="40">
        <f t="shared" ref="BE133:BE137" si="112">+(BC133/AZ133)</f>
        <v>0</v>
      </c>
      <c r="BF133" s="40" t="e">
        <f t="shared" ref="BF133:BF137" si="113">+(BD133/BB133)</f>
        <v>#DIV/0!</v>
      </c>
      <c r="BG133" s="40">
        <f t="shared" ref="BG133:BG137" si="114">+(AK133+AB133+AT133+BC133)/U133</f>
        <v>0</v>
      </c>
      <c r="BH133" s="40" t="e">
        <f t="shared" ref="BH133:BH137" si="115">+(AL133+AC133+AU133+BD133)/W133</f>
        <v>#DIV/0!</v>
      </c>
      <c r="BI133" s="44">
        <f t="shared" ref="BI133:BI137" si="116">IF(AND(Y133=0,AB133=0),"No Prog ni Ejec",IF(Y133=0,CONCATENATE("No Prog, Ejec=  ",AB133),AB133/Y133))</f>
        <v>0</v>
      </c>
      <c r="BJ133" s="44" t="str">
        <f t="shared" ref="BJ133:BJ137" si="117">IF(AND(AA133=0,AC133=0),"No Prog ni Ejec",IF(AA133=0,CONCATENATE("No Prog, Ejec=  ",AC133),AC133/AA133))</f>
        <v>No Prog ni Ejec</v>
      </c>
      <c r="BK133" s="44">
        <f t="shared" ref="BK133:BK137" si="118">IF(AND(AH133=0,AK133=0),"No Prog ni Ejec",IF(AH133=0,CONCATENATE("No Prog, Ejec=  ",AK133),AK133/AH133))</f>
        <v>0</v>
      </c>
      <c r="BL133" s="44" t="str">
        <f t="shared" ref="BL133:BL137" si="119">IF(AND(AJ133=0,AL133=0),"No Prog ni Ejec",IF(AJ133=0,CONCATENATE("No Prog, Ejec=  ",AL133),AL133/AJ133))</f>
        <v>No Prog ni Ejec</v>
      </c>
      <c r="BM133" s="44">
        <f t="shared" ref="BM133:BM137" si="120">IF(AND(AQ133=0,AT133=0),"No Prog ni Ejec",IF(AQ133=0,CONCATENATE("No Prog, Ejec=  ",AT133),AT133/AQ133))</f>
        <v>0</v>
      </c>
      <c r="BN133" s="44" t="str">
        <f t="shared" ref="BN133:BN137" si="121">IF(AND(AS133=0,AU133=0),"No Prog ni Ejec",IF(AS133=0,CONCATENATE("No Prog, Ejec=  ",AU133),AU133/AS133))</f>
        <v>No Prog ni Ejec</v>
      </c>
      <c r="BO133" s="44">
        <f t="shared" ref="BO133:BO137" si="122">IF(AND(AZ133=0,BC133=0),"No Prog ni Ejec",IF(AZ133=0,CONCATENATE("No Prog, Ejec=  ",BC133),BC133/AZ133))</f>
        <v>0</v>
      </c>
      <c r="BP133" s="44" t="str">
        <f t="shared" ref="BP133:BP137" si="123">IF(AND(BB133=0,BD133=0),"No Prog ni Ejec",IF(BB133=0,CONCATENATE("No Prog, Ejec=  ",BD133),BD133/BB133))</f>
        <v>No Prog ni Ejec</v>
      </c>
      <c r="BQ133" s="42"/>
    </row>
    <row r="134" spans="1:69" s="45" customFormat="1" ht="105" x14ac:dyDescent="0.25">
      <c r="A134" s="34">
        <v>12000</v>
      </c>
      <c r="B134" s="35" t="str">
        <f>+VLOOKUP(A134,'[1]TAB. REF. PA'!$A$4:$B$14,2,FALSE)</f>
        <v>Oficina Asesora de Planeación y Control de Riegos</v>
      </c>
      <c r="C134" s="36" t="s">
        <v>355</v>
      </c>
      <c r="D134" s="35" t="s">
        <v>256</v>
      </c>
      <c r="E134" s="36" t="s">
        <v>356</v>
      </c>
      <c r="F134" s="35" t="s">
        <v>134</v>
      </c>
      <c r="G134" s="37" t="s">
        <v>124</v>
      </c>
      <c r="H134" s="36">
        <v>4</v>
      </c>
      <c r="I134" s="36" t="s">
        <v>539</v>
      </c>
      <c r="J134" s="38" t="s">
        <v>683</v>
      </c>
      <c r="K134" s="39">
        <v>0</v>
      </c>
      <c r="L134" s="40">
        <v>1</v>
      </c>
      <c r="M134" s="41" t="s">
        <v>51</v>
      </c>
      <c r="N134" s="41" t="s">
        <v>68</v>
      </c>
      <c r="O134" s="41" t="s">
        <v>21</v>
      </c>
      <c r="P134" s="41" t="s">
        <v>36</v>
      </c>
      <c r="Q134" s="41" t="s">
        <v>75</v>
      </c>
      <c r="R134" s="42"/>
      <c r="S134" s="41" t="s">
        <v>628</v>
      </c>
      <c r="T134" s="41" t="s">
        <v>98</v>
      </c>
      <c r="U134" s="51">
        <f>+H134</f>
        <v>4</v>
      </c>
      <c r="V134" s="38" t="str">
        <f>+$J$134</f>
        <v xml:space="preserve">Reportar el cumplimiento de la ejecución del Plan de Acción </v>
      </c>
      <c r="W134" s="39">
        <v>0</v>
      </c>
      <c r="X134" s="34" t="s">
        <v>117</v>
      </c>
      <c r="Y134" s="39">
        <v>1</v>
      </c>
      <c r="Z134" s="38" t="str">
        <f>+$J$134</f>
        <v xml:space="preserve">Reportar el cumplimiento de la ejecución del Plan de Acción </v>
      </c>
      <c r="AA134" s="39">
        <v>0</v>
      </c>
      <c r="AB134" s="42"/>
      <c r="AC134" s="42"/>
      <c r="AD134" s="40">
        <f t="shared" si="100"/>
        <v>0</v>
      </c>
      <c r="AE134" s="40" t="e">
        <f t="shared" si="101"/>
        <v>#DIV/0!</v>
      </c>
      <c r="AF134" s="40">
        <f t="shared" si="102"/>
        <v>0</v>
      </c>
      <c r="AG134" s="40" t="e">
        <f t="shared" si="103"/>
        <v>#DIV/0!</v>
      </c>
      <c r="AH134" s="39">
        <v>1</v>
      </c>
      <c r="AI134" s="38" t="str">
        <f>+$J$134</f>
        <v xml:space="preserve">Reportar el cumplimiento de la ejecución del Plan de Acción </v>
      </c>
      <c r="AJ134" s="39">
        <v>0</v>
      </c>
      <c r="AK134" s="42"/>
      <c r="AL134" s="42"/>
      <c r="AM134" s="40">
        <f t="shared" si="104"/>
        <v>0</v>
      </c>
      <c r="AN134" s="40" t="e">
        <f t="shared" si="105"/>
        <v>#DIV/0!</v>
      </c>
      <c r="AO134" s="40">
        <f t="shared" si="106"/>
        <v>0</v>
      </c>
      <c r="AP134" s="43" t="e">
        <f t="shared" si="107"/>
        <v>#DIV/0!</v>
      </c>
      <c r="AQ134" s="39">
        <v>1</v>
      </c>
      <c r="AR134" s="38" t="str">
        <f>+$J$134</f>
        <v xml:space="preserve">Reportar el cumplimiento de la ejecución del Plan de Acción </v>
      </c>
      <c r="AS134" s="39">
        <v>0</v>
      </c>
      <c r="AT134" s="42"/>
      <c r="AU134" s="42"/>
      <c r="AV134" s="40">
        <f t="shared" si="108"/>
        <v>0</v>
      </c>
      <c r="AW134" s="40" t="e">
        <f t="shared" si="109"/>
        <v>#DIV/0!</v>
      </c>
      <c r="AX134" s="40">
        <f t="shared" si="110"/>
        <v>0</v>
      </c>
      <c r="AY134" s="40" t="e">
        <f t="shared" si="111"/>
        <v>#DIV/0!</v>
      </c>
      <c r="AZ134" s="39">
        <v>1</v>
      </c>
      <c r="BA134" s="38" t="str">
        <f>+$J$134</f>
        <v xml:space="preserve">Reportar el cumplimiento de la ejecución del Plan de Acción </v>
      </c>
      <c r="BB134" s="39">
        <v>0</v>
      </c>
      <c r="BC134" s="42"/>
      <c r="BD134" s="42"/>
      <c r="BE134" s="40">
        <f t="shared" si="112"/>
        <v>0</v>
      </c>
      <c r="BF134" s="40" t="e">
        <f t="shared" si="113"/>
        <v>#DIV/0!</v>
      </c>
      <c r="BG134" s="40">
        <f t="shared" si="114"/>
        <v>0</v>
      </c>
      <c r="BH134" s="40" t="e">
        <f t="shared" si="115"/>
        <v>#DIV/0!</v>
      </c>
      <c r="BI134" s="44">
        <f t="shared" si="116"/>
        <v>0</v>
      </c>
      <c r="BJ134" s="44" t="str">
        <f t="shared" si="117"/>
        <v>No Prog ni Ejec</v>
      </c>
      <c r="BK134" s="44">
        <f t="shared" si="118"/>
        <v>0</v>
      </c>
      <c r="BL134" s="44" t="str">
        <f t="shared" si="119"/>
        <v>No Prog ni Ejec</v>
      </c>
      <c r="BM134" s="44">
        <f t="shared" si="120"/>
        <v>0</v>
      </c>
      <c r="BN134" s="44" t="str">
        <f t="shared" si="121"/>
        <v>No Prog ni Ejec</v>
      </c>
      <c r="BO134" s="44">
        <f t="shared" si="122"/>
        <v>0</v>
      </c>
      <c r="BP134" s="44" t="str">
        <f t="shared" si="123"/>
        <v>No Prog ni Ejec</v>
      </c>
      <c r="BQ134" s="42"/>
    </row>
    <row r="135" spans="1:69" s="45" customFormat="1" ht="105" x14ac:dyDescent="0.25">
      <c r="A135" s="34">
        <v>12000</v>
      </c>
      <c r="B135" s="35" t="str">
        <f>+VLOOKUP(A135,'[1]TAB. REF. PA'!$A$4:$B$14,2,FALSE)</f>
        <v>Oficina Asesora de Planeación y Control de Riegos</v>
      </c>
      <c r="C135" s="36" t="s">
        <v>355</v>
      </c>
      <c r="D135" s="35" t="s">
        <v>256</v>
      </c>
      <c r="E135" s="36" t="s">
        <v>540</v>
      </c>
      <c r="F135" s="35" t="s">
        <v>136</v>
      </c>
      <c r="G135" s="37" t="s">
        <v>123</v>
      </c>
      <c r="H135" s="50">
        <v>1</v>
      </c>
      <c r="I135" s="36" t="s">
        <v>541</v>
      </c>
      <c r="J135" s="38" t="s">
        <v>135</v>
      </c>
      <c r="K135" s="39">
        <v>61642068</v>
      </c>
      <c r="L135" s="40">
        <v>1</v>
      </c>
      <c r="M135" s="41" t="s">
        <v>51</v>
      </c>
      <c r="N135" s="41" t="s">
        <v>68</v>
      </c>
      <c r="O135" s="41" t="s">
        <v>21</v>
      </c>
      <c r="P135" s="41" t="s">
        <v>36</v>
      </c>
      <c r="Q135" s="41" t="s">
        <v>75</v>
      </c>
      <c r="R135" s="42"/>
      <c r="S135" s="41" t="s">
        <v>182</v>
      </c>
      <c r="T135" s="41" t="s">
        <v>99</v>
      </c>
      <c r="U135" s="46">
        <v>1</v>
      </c>
      <c r="V135" s="38" t="str">
        <f>+$J$135</f>
        <v>Asesorar y apoyar en la implementación de MIPG</v>
      </c>
      <c r="W135" s="39">
        <f>+K135</f>
        <v>61642068</v>
      </c>
      <c r="X135" s="34" t="s">
        <v>117</v>
      </c>
      <c r="Y135" s="40">
        <v>0.25</v>
      </c>
      <c r="Z135" s="38" t="str">
        <f>+$J$135</f>
        <v>Asesorar y apoyar en la implementación de MIPG</v>
      </c>
      <c r="AA135" s="39">
        <v>15410517</v>
      </c>
      <c r="AB135" s="42"/>
      <c r="AC135" s="42"/>
      <c r="AD135" s="40">
        <f t="shared" si="100"/>
        <v>0</v>
      </c>
      <c r="AE135" s="40">
        <f t="shared" si="101"/>
        <v>0</v>
      </c>
      <c r="AF135" s="40">
        <f t="shared" si="102"/>
        <v>0</v>
      </c>
      <c r="AG135" s="40">
        <f t="shared" si="103"/>
        <v>0</v>
      </c>
      <c r="AH135" s="40">
        <v>0.25</v>
      </c>
      <c r="AI135" s="38" t="str">
        <f>+$J$135</f>
        <v>Asesorar y apoyar en la implementación de MIPG</v>
      </c>
      <c r="AJ135" s="39">
        <v>15410517</v>
      </c>
      <c r="AK135" s="42"/>
      <c r="AL135" s="42"/>
      <c r="AM135" s="40">
        <f t="shared" si="104"/>
        <v>0</v>
      </c>
      <c r="AN135" s="40">
        <f t="shared" si="105"/>
        <v>0</v>
      </c>
      <c r="AO135" s="40">
        <f t="shared" si="106"/>
        <v>0</v>
      </c>
      <c r="AP135" s="43">
        <f t="shared" si="107"/>
        <v>0</v>
      </c>
      <c r="AQ135" s="40">
        <v>0.25</v>
      </c>
      <c r="AR135" s="38" t="str">
        <f>+$J$135</f>
        <v>Asesorar y apoyar en la implementación de MIPG</v>
      </c>
      <c r="AS135" s="39">
        <v>15410517</v>
      </c>
      <c r="AT135" s="42"/>
      <c r="AU135" s="42"/>
      <c r="AV135" s="40">
        <f t="shared" si="108"/>
        <v>0</v>
      </c>
      <c r="AW135" s="40">
        <f t="shared" si="109"/>
        <v>0</v>
      </c>
      <c r="AX135" s="40">
        <f t="shared" si="110"/>
        <v>0</v>
      </c>
      <c r="AY135" s="40">
        <f t="shared" si="111"/>
        <v>0</v>
      </c>
      <c r="AZ135" s="40">
        <v>0.25</v>
      </c>
      <c r="BA135" s="38" t="str">
        <f>+$J$135</f>
        <v>Asesorar y apoyar en la implementación de MIPG</v>
      </c>
      <c r="BB135" s="39">
        <v>15410517</v>
      </c>
      <c r="BC135" s="42"/>
      <c r="BD135" s="42"/>
      <c r="BE135" s="40">
        <f t="shared" si="112"/>
        <v>0</v>
      </c>
      <c r="BF135" s="40">
        <f t="shared" si="113"/>
        <v>0</v>
      </c>
      <c r="BG135" s="40">
        <f t="shared" si="114"/>
        <v>0</v>
      </c>
      <c r="BH135" s="40">
        <f t="shared" si="115"/>
        <v>0</v>
      </c>
      <c r="BI135" s="44">
        <f t="shared" si="116"/>
        <v>0</v>
      </c>
      <c r="BJ135" s="44">
        <f t="shared" si="117"/>
        <v>0</v>
      </c>
      <c r="BK135" s="44">
        <f t="shared" si="118"/>
        <v>0</v>
      </c>
      <c r="BL135" s="44">
        <f t="shared" si="119"/>
        <v>0</v>
      </c>
      <c r="BM135" s="44">
        <f t="shared" si="120"/>
        <v>0</v>
      </c>
      <c r="BN135" s="44">
        <f t="shared" si="121"/>
        <v>0</v>
      </c>
      <c r="BO135" s="44">
        <f t="shared" si="122"/>
        <v>0</v>
      </c>
      <c r="BP135" s="44">
        <f t="shared" si="123"/>
        <v>0</v>
      </c>
      <c r="BQ135" s="42"/>
    </row>
    <row r="136" spans="1:69" s="45" customFormat="1" ht="105" x14ac:dyDescent="0.25">
      <c r="A136" s="34">
        <v>12000</v>
      </c>
      <c r="B136" s="35" t="str">
        <f>+VLOOKUP(A136,'[1]TAB. REF. PA'!$A$4:$B$14,2,FALSE)</f>
        <v>Oficina Asesora de Planeación y Control de Riegos</v>
      </c>
      <c r="C136" s="36" t="s">
        <v>355</v>
      </c>
      <c r="D136" s="35" t="s">
        <v>256</v>
      </c>
      <c r="E136" s="36" t="s">
        <v>542</v>
      </c>
      <c r="F136" s="35" t="s">
        <v>139</v>
      </c>
      <c r="G136" s="37" t="s">
        <v>124</v>
      </c>
      <c r="H136" s="36">
        <v>1</v>
      </c>
      <c r="I136" s="36" t="s">
        <v>543</v>
      </c>
      <c r="J136" s="38" t="s">
        <v>138</v>
      </c>
      <c r="K136" s="39">
        <v>0</v>
      </c>
      <c r="L136" s="40">
        <v>1</v>
      </c>
      <c r="M136" s="41" t="s">
        <v>48</v>
      </c>
      <c r="N136" s="41" t="s">
        <v>62</v>
      </c>
      <c r="O136" s="41" t="s">
        <v>21</v>
      </c>
      <c r="P136" s="41" t="s">
        <v>23</v>
      </c>
      <c r="Q136" s="41" t="s">
        <v>75</v>
      </c>
      <c r="R136" s="42"/>
      <c r="S136" s="41" t="s">
        <v>628</v>
      </c>
      <c r="T136" s="41" t="s">
        <v>98</v>
      </c>
      <c r="U136" s="51">
        <v>0</v>
      </c>
      <c r="V136" s="38" t="str">
        <f>+$J$136</f>
        <v>Elaboración del Informe de Rendición de Cuentas al Congreso de la República 2017-2018</v>
      </c>
      <c r="W136" s="39">
        <v>0</v>
      </c>
      <c r="X136" s="34" t="s">
        <v>117</v>
      </c>
      <c r="Y136" s="39">
        <v>0</v>
      </c>
      <c r="Z136" s="38" t="str">
        <f>+$J$136</f>
        <v>Elaboración del Informe de Rendición de Cuentas al Congreso de la República 2017-2018</v>
      </c>
      <c r="AA136" s="39">
        <v>0</v>
      </c>
      <c r="AB136" s="42"/>
      <c r="AC136" s="42"/>
      <c r="AD136" s="40" t="e">
        <f t="shared" si="100"/>
        <v>#DIV/0!</v>
      </c>
      <c r="AE136" s="40" t="e">
        <f t="shared" si="101"/>
        <v>#DIV/0!</v>
      </c>
      <c r="AF136" s="40" t="e">
        <f t="shared" si="102"/>
        <v>#DIV/0!</v>
      </c>
      <c r="AG136" s="40" t="e">
        <f t="shared" si="103"/>
        <v>#DIV/0!</v>
      </c>
      <c r="AH136" s="39">
        <v>0</v>
      </c>
      <c r="AI136" s="38" t="str">
        <f>+$J$136</f>
        <v>Elaboración del Informe de Rendición de Cuentas al Congreso de la República 2017-2018</v>
      </c>
      <c r="AJ136" s="39">
        <v>0</v>
      </c>
      <c r="AK136" s="42"/>
      <c r="AL136" s="42"/>
      <c r="AM136" s="40" t="e">
        <f t="shared" si="104"/>
        <v>#DIV/0!</v>
      </c>
      <c r="AN136" s="40" t="e">
        <f t="shared" si="105"/>
        <v>#DIV/0!</v>
      </c>
      <c r="AO136" s="40" t="e">
        <f t="shared" si="106"/>
        <v>#DIV/0!</v>
      </c>
      <c r="AP136" s="43" t="e">
        <f t="shared" si="107"/>
        <v>#DIV/0!</v>
      </c>
      <c r="AQ136" s="39">
        <v>1</v>
      </c>
      <c r="AR136" s="38" t="str">
        <f>+$J$136</f>
        <v>Elaboración del Informe de Rendición de Cuentas al Congreso de la República 2017-2018</v>
      </c>
      <c r="AS136" s="39">
        <v>0</v>
      </c>
      <c r="AT136" s="42"/>
      <c r="AU136" s="42"/>
      <c r="AV136" s="40">
        <f t="shared" si="108"/>
        <v>0</v>
      </c>
      <c r="AW136" s="40" t="e">
        <f>+(AU136/AS136)</f>
        <v>#DIV/0!</v>
      </c>
      <c r="AX136" s="40" t="e">
        <f t="shared" si="110"/>
        <v>#DIV/0!</v>
      </c>
      <c r="AY136" s="40" t="e">
        <f t="shared" si="111"/>
        <v>#DIV/0!</v>
      </c>
      <c r="AZ136" s="39">
        <v>0</v>
      </c>
      <c r="BA136" s="38" t="str">
        <f>+$J$136</f>
        <v>Elaboración del Informe de Rendición de Cuentas al Congreso de la República 2017-2018</v>
      </c>
      <c r="BB136" s="39">
        <v>0</v>
      </c>
      <c r="BC136" s="42"/>
      <c r="BD136" s="42"/>
      <c r="BE136" s="40" t="e">
        <f t="shared" si="112"/>
        <v>#DIV/0!</v>
      </c>
      <c r="BF136" s="40" t="e">
        <f t="shared" si="113"/>
        <v>#DIV/0!</v>
      </c>
      <c r="BG136" s="40" t="e">
        <f t="shared" si="114"/>
        <v>#DIV/0!</v>
      </c>
      <c r="BH136" s="40" t="e">
        <f t="shared" si="115"/>
        <v>#DIV/0!</v>
      </c>
      <c r="BI136" s="44" t="str">
        <f t="shared" si="116"/>
        <v>No Prog ni Ejec</v>
      </c>
      <c r="BJ136" s="44" t="str">
        <f t="shared" si="117"/>
        <v>No Prog ni Ejec</v>
      </c>
      <c r="BK136" s="44" t="str">
        <f t="shared" si="118"/>
        <v>No Prog ni Ejec</v>
      </c>
      <c r="BL136" s="44" t="str">
        <f t="shared" si="119"/>
        <v>No Prog ni Ejec</v>
      </c>
      <c r="BM136" s="44">
        <f t="shared" si="120"/>
        <v>0</v>
      </c>
      <c r="BN136" s="44" t="str">
        <f t="shared" si="121"/>
        <v>No Prog ni Ejec</v>
      </c>
      <c r="BO136" s="44" t="str">
        <f t="shared" si="122"/>
        <v>No Prog ni Ejec</v>
      </c>
      <c r="BP136" s="44" t="str">
        <f t="shared" si="123"/>
        <v>No Prog ni Ejec</v>
      </c>
      <c r="BQ136" s="42"/>
    </row>
    <row r="137" spans="1:69" ht="30" x14ac:dyDescent="0.25">
      <c r="A137" s="129"/>
      <c r="B137" s="130" t="e">
        <f>+VLOOKUP(A137,'[1]TAB. REF. PA'!$A$4:$B$14,2,FALSE)</f>
        <v>#N/A</v>
      </c>
      <c r="C137" s="1"/>
      <c r="D137" s="141"/>
      <c r="E137" s="1"/>
      <c r="F137" s="1"/>
      <c r="G137" s="142"/>
      <c r="H137" s="1"/>
      <c r="I137" s="1"/>
      <c r="J137" s="1"/>
      <c r="K137" s="1"/>
      <c r="L137" s="1"/>
      <c r="M137" s="3"/>
      <c r="N137" s="3"/>
      <c r="O137" s="3"/>
      <c r="P137" s="3"/>
      <c r="Q137" s="3"/>
      <c r="R137" s="1"/>
      <c r="S137" s="1"/>
      <c r="T137" s="3"/>
      <c r="U137" s="1"/>
      <c r="V137" s="1"/>
      <c r="W137" s="1"/>
      <c r="X137" s="129"/>
      <c r="Y137" s="1"/>
      <c r="Z137" s="1"/>
      <c r="AA137" s="1"/>
      <c r="AB137" s="1"/>
      <c r="AC137" s="1"/>
      <c r="AD137" s="143" t="e">
        <f t="shared" si="100"/>
        <v>#DIV/0!</v>
      </c>
      <c r="AE137" s="143" t="e">
        <f t="shared" si="101"/>
        <v>#DIV/0!</v>
      </c>
      <c r="AF137" s="143" t="e">
        <f t="shared" si="102"/>
        <v>#DIV/0!</v>
      </c>
      <c r="AG137" s="143" t="e">
        <f t="shared" si="103"/>
        <v>#DIV/0!</v>
      </c>
      <c r="AH137" s="1"/>
      <c r="AI137" s="1"/>
      <c r="AJ137" s="1"/>
      <c r="AK137" s="1"/>
      <c r="AL137" s="1"/>
      <c r="AM137" s="143" t="e">
        <f t="shared" si="104"/>
        <v>#DIV/0!</v>
      </c>
      <c r="AN137" s="143" t="e">
        <f t="shared" si="105"/>
        <v>#DIV/0!</v>
      </c>
      <c r="AO137" s="143" t="e">
        <f t="shared" si="106"/>
        <v>#DIV/0!</v>
      </c>
      <c r="AP137" s="144" t="e">
        <f t="shared" si="107"/>
        <v>#DIV/0!</v>
      </c>
      <c r="AQ137" s="1"/>
      <c r="AR137" s="1"/>
      <c r="AS137" s="1"/>
      <c r="AT137" s="1"/>
      <c r="AU137" s="1"/>
      <c r="AV137" s="143" t="e">
        <f t="shared" si="108"/>
        <v>#DIV/0!</v>
      </c>
      <c r="AW137" s="143" t="e">
        <f t="shared" si="109"/>
        <v>#DIV/0!</v>
      </c>
      <c r="AX137" s="145" t="e">
        <f t="shared" si="110"/>
        <v>#DIV/0!</v>
      </c>
      <c r="AY137" s="145" t="e">
        <f t="shared" si="111"/>
        <v>#DIV/0!</v>
      </c>
      <c r="AZ137" s="129"/>
      <c r="BA137" s="1"/>
      <c r="BB137" s="1"/>
      <c r="BC137" s="1"/>
      <c r="BD137" s="1"/>
      <c r="BE137" s="143" t="e">
        <f t="shared" si="112"/>
        <v>#DIV/0!</v>
      </c>
      <c r="BF137" s="143" t="e">
        <f t="shared" si="113"/>
        <v>#DIV/0!</v>
      </c>
      <c r="BG137" s="143" t="e">
        <f t="shared" si="114"/>
        <v>#DIV/0!</v>
      </c>
      <c r="BH137" s="143" t="e">
        <f t="shared" si="115"/>
        <v>#DIV/0!</v>
      </c>
      <c r="BI137" s="13" t="str">
        <f t="shared" si="116"/>
        <v>No Prog ni Ejec</v>
      </c>
      <c r="BJ137" s="13" t="str">
        <f t="shared" si="117"/>
        <v>No Prog ni Ejec</v>
      </c>
      <c r="BK137" s="17" t="str">
        <f t="shared" si="118"/>
        <v>No Prog ni Ejec</v>
      </c>
      <c r="BL137" s="13" t="str">
        <f t="shared" si="119"/>
        <v>No Prog ni Ejec</v>
      </c>
      <c r="BM137" s="15" t="str">
        <f t="shared" si="120"/>
        <v>No Prog ni Ejec</v>
      </c>
      <c r="BN137" s="13" t="str">
        <f t="shared" si="121"/>
        <v>No Prog ni Ejec</v>
      </c>
      <c r="BO137" s="13" t="str">
        <f t="shared" si="122"/>
        <v>No Prog ni Ejec</v>
      </c>
      <c r="BP137" s="13" t="str">
        <f t="shared" si="123"/>
        <v>No Prog ni Ejec</v>
      </c>
      <c r="BQ137" s="1"/>
    </row>
    <row r="138" spans="1:69" x14ac:dyDescent="0.25">
      <c r="BB138" t="s">
        <v>738</v>
      </c>
    </row>
    <row r="139" spans="1:69" x14ac:dyDescent="0.25">
      <c r="BJ139" s="645" t="s">
        <v>739</v>
      </c>
      <c r="BK139" s="645"/>
      <c r="BL139" s="645"/>
      <c r="BM139" s="645"/>
      <c r="BN139" s="645"/>
      <c r="BO139" s="645"/>
    </row>
    <row r="140" spans="1:69" x14ac:dyDescent="0.25">
      <c r="BJ140" s="646" t="s">
        <v>740</v>
      </c>
      <c r="BK140" s="646"/>
      <c r="BL140" s="647" t="s">
        <v>741</v>
      </c>
      <c r="BM140" s="647"/>
      <c r="BN140" s="647"/>
      <c r="BO140" s="647"/>
    </row>
    <row r="141" spans="1:69" x14ac:dyDescent="0.25">
      <c r="BJ141" s="651" t="s">
        <v>742</v>
      </c>
      <c r="BK141" s="651"/>
      <c r="BL141" s="652" t="s">
        <v>743</v>
      </c>
      <c r="BM141" s="652"/>
      <c r="BN141" s="652"/>
      <c r="BO141" s="652"/>
    </row>
    <row r="142" spans="1:69" x14ac:dyDescent="0.25">
      <c r="BJ142" s="653" t="s">
        <v>744</v>
      </c>
      <c r="BK142" s="653"/>
      <c r="BL142" s="647" t="s">
        <v>745</v>
      </c>
      <c r="BM142" s="647"/>
      <c r="BN142" s="647"/>
      <c r="BO142" s="647"/>
    </row>
    <row r="143" spans="1:69" x14ac:dyDescent="0.25">
      <c r="BJ143" s="654" t="s">
        <v>746</v>
      </c>
      <c r="BK143" s="654"/>
      <c r="BL143" s="647" t="s">
        <v>747</v>
      </c>
      <c r="BM143" s="647"/>
      <c r="BN143" s="647"/>
      <c r="BO143" s="647"/>
    </row>
    <row r="144" spans="1:69" x14ac:dyDescent="0.25">
      <c r="BJ144" s="648">
        <v>1</v>
      </c>
      <c r="BK144" s="648"/>
      <c r="BL144" s="647" t="s">
        <v>748</v>
      </c>
      <c r="BM144" s="647"/>
      <c r="BN144" s="647"/>
      <c r="BO144" s="647"/>
    </row>
    <row r="145" spans="1:67" x14ac:dyDescent="0.25">
      <c r="BJ145" s="649" t="s">
        <v>749</v>
      </c>
      <c r="BK145" s="649"/>
      <c r="BL145" s="650" t="s">
        <v>750</v>
      </c>
      <c r="BM145" s="650"/>
      <c r="BN145" s="650"/>
      <c r="BO145" s="650"/>
    </row>
    <row r="146" spans="1:67" ht="165" x14ac:dyDescent="0.25">
      <c r="A146" s="65">
        <v>11700</v>
      </c>
      <c r="B146" s="63" t="str">
        <f>+VLOOKUP(A146,'[4]TAB. REF. PA'!$A$4:$B$14,2,FALSE)</f>
        <v>Dirección Administrativa y Financiera</v>
      </c>
      <c r="C146" s="65" t="s">
        <v>328</v>
      </c>
      <c r="D146" s="63" t="s">
        <v>256</v>
      </c>
      <c r="E146" s="65" t="s">
        <v>665</v>
      </c>
      <c r="F146" s="108" t="s">
        <v>667</v>
      </c>
      <c r="G146" s="65" t="s">
        <v>123</v>
      </c>
      <c r="H146" s="107">
        <v>1</v>
      </c>
      <c r="I146" s="65" t="s">
        <v>666</v>
      </c>
      <c r="J146" s="109" t="s">
        <v>471</v>
      </c>
      <c r="K146" s="110">
        <v>77284920</v>
      </c>
      <c r="L146" s="111">
        <v>1</v>
      </c>
      <c r="M146" s="69" t="s">
        <v>45</v>
      </c>
      <c r="N146" s="69" t="s">
        <v>54</v>
      </c>
      <c r="O146" s="69" t="s">
        <v>37</v>
      </c>
      <c r="P146" s="69" t="s">
        <v>38</v>
      </c>
      <c r="Q146" s="69" t="s">
        <v>218</v>
      </c>
      <c r="R146" s="73"/>
      <c r="S146" s="106" t="s">
        <v>379</v>
      </c>
      <c r="T146" s="69" t="s">
        <v>104</v>
      </c>
      <c r="U146" s="111">
        <v>1</v>
      </c>
      <c r="V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W146" s="112">
        <f>+K146</f>
        <v>77284920</v>
      </c>
      <c r="X146" s="73"/>
      <c r="Y146" s="111">
        <v>0.25</v>
      </c>
      <c r="Z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A146" s="110">
        <f>+W146*Y146</f>
        <v>19321230</v>
      </c>
      <c r="AB146" s="73"/>
      <c r="AC146" s="73"/>
      <c r="AD146" s="73"/>
      <c r="AE146" s="73"/>
      <c r="AF146" s="73"/>
      <c r="AG146" s="73"/>
      <c r="AH146" s="111">
        <v>0.25</v>
      </c>
      <c r="AI146" s="69" t="str">
        <f>+J146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J146" s="110">
        <v>19321230</v>
      </c>
      <c r="AK146" s="73"/>
      <c r="AL146" s="73"/>
      <c r="AM146" s="73"/>
      <c r="AN146" s="73"/>
      <c r="AO146" s="73"/>
      <c r="AP146" s="73"/>
      <c r="AQ146" s="111">
        <v>0.25</v>
      </c>
      <c r="AR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AS146" s="110">
        <v>19321230</v>
      </c>
      <c r="AT146" s="73"/>
      <c r="AU146" s="73"/>
      <c r="AV146" s="73"/>
      <c r="AW146" s="73"/>
      <c r="AX146" s="73"/>
      <c r="AY146" s="73"/>
      <c r="AZ146" s="111">
        <v>0.25</v>
      </c>
      <c r="BA146" s="69" t="str">
        <f>+V146</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B146" s="110">
        <v>19321230</v>
      </c>
      <c r="BC146" s="73"/>
      <c r="BD146" s="73"/>
      <c r="BE146" s="73"/>
      <c r="BF146" s="73"/>
      <c r="BG146" s="73"/>
      <c r="BH146" s="73"/>
    </row>
    <row r="147" spans="1:67" ht="105" x14ac:dyDescent="0.25">
      <c r="A147" s="65">
        <v>11700</v>
      </c>
      <c r="B147" s="63" t="str">
        <f>+VLOOKUP(A147,'[4]TAB. REF. PA'!$A$4:$B$14,2,FALSE)</f>
        <v>Dirección Administrativa y Financiera</v>
      </c>
      <c r="C147" s="65" t="s">
        <v>328</v>
      </c>
      <c r="D147" s="63" t="s">
        <v>256</v>
      </c>
      <c r="E147" s="65" t="s">
        <v>669</v>
      </c>
      <c r="F147" s="108" t="s">
        <v>671</v>
      </c>
      <c r="G147" s="65" t="s">
        <v>123</v>
      </c>
      <c r="H147" s="107">
        <v>1</v>
      </c>
      <c r="I147" s="65" t="s">
        <v>668</v>
      </c>
      <c r="J147" s="108" t="s">
        <v>472</v>
      </c>
      <c r="K147" s="73">
        <v>17000000</v>
      </c>
      <c r="L147" s="111">
        <v>1</v>
      </c>
      <c r="M147" s="69" t="s">
        <v>45</v>
      </c>
      <c r="N147" s="69" t="s">
        <v>54</v>
      </c>
      <c r="O147" s="69" t="s">
        <v>37</v>
      </c>
      <c r="P147" s="69" t="s">
        <v>38</v>
      </c>
      <c r="Q147" s="69" t="s">
        <v>218</v>
      </c>
      <c r="R147" s="73"/>
      <c r="S147" s="106" t="s">
        <v>379</v>
      </c>
      <c r="T147" s="69" t="s">
        <v>104</v>
      </c>
      <c r="U147" s="111">
        <v>1</v>
      </c>
      <c r="V147" s="69" t="str">
        <f>+J147</f>
        <v xml:space="preserve">Realizar el estudio de seguridad, visita domiciliaria y verificación de la información de la Hoja de Vida y antecedentes financieros de los funcionarios de la entidad. </v>
      </c>
      <c r="W147" s="110">
        <v>17000000</v>
      </c>
      <c r="X147" s="73"/>
      <c r="Y147" s="111">
        <v>0.25</v>
      </c>
      <c r="Z147" s="69" t="str">
        <f>+V147</f>
        <v xml:space="preserve">Realizar el estudio de seguridad, visita domiciliaria y verificación de la información de la Hoja de Vida y antecedentes financieros de los funcionarios de la entidad. </v>
      </c>
      <c r="AA147" s="110">
        <f>+W147*Y147</f>
        <v>4250000</v>
      </c>
      <c r="AB147" s="73"/>
      <c r="AC147" s="73"/>
      <c r="AD147" s="73"/>
      <c r="AE147" s="73"/>
      <c r="AF147" s="73"/>
      <c r="AG147" s="73"/>
      <c r="AH147" s="111">
        <v>0.25</v>
      </c>
      <c r="AI147" s="69" t="str">
        <f>+V147</f>
        <v xml:space="preserve">Realizar el estudio de seguridad, visita domiciliaria y verificación de la información de la Hoja de Vida y antecedentes financieros de los funcionarios de la entidad. </v>
      </c>
      <c r="AJ147" s="110">
        <v>4250000</v>
      </c>
      <c r="AK147" s="73"/>
      <c r="AL147" s="73"/>
      <c r="AM147" s="73"/>
      <c r="AN147" s="73"/>
      <c r="AO147" s="73"/>
      <c r="AP147" s="73"/>
      <c r="AQ147" s="111">
        <v>0.25</v>
      </c>
      <c r="AR147" s="69" t="str">
        <f>+J147</f>
        <v xml:space="preserve">Realizar el estudio de seguridad, visita domiciliaria y verificación de la información de la Hoja de Vida y antecedentes financieros de los funcionarios de la entidad. </v>
      </c>
      <c r="AS147" s="110">
        <v>4250000</v>
      </c>
      <c r="AT147" s="73"/>
      <c r="AU147" s="73"/>
      <c r="AV147" s="73"/>
      <c r="AW147" s="73"/>
      <c r="AX147" s="73"/>
      <c r="AY147" s="73"/>
      <c r="AZ147" s="111">
        <v>0.25</v>
      </c>
      <c r="BA147" s="69" t="str">
        <f>+J147</f>
        <v xml:space="preserve">Realizar el estudio de seguridad, visita domiciliaria y verificación de la información de la Hoja de Vida y antecedentes financieros de los funcionarios de la entidad. </v>
      </c>
      <c r="BB147" s="110">
        <v>4250000</v>
      </c>
      <c r="BC147" s="73"/>
      <c r="BD147" s="73"/>
      <c r="BE147" s="73"/>
      <c r="BF147" s="73"/>
      <c r="BG147" s="73"/>
      <c r="BH147" s="73"/>
    </row>
    <row r="148" spans="1:67" ht="120" x14ac:dyDescent="0.25">
      <c r="A148" s="80">
        <v>11900</v>
      </c>
      <c r="B148" s="79" t="str">
        <f>+VLOOKUP(A148,'[6]TAB. REF. PA'!$A$4:$B$14,2,FALSE)</f>
        <v>Oficina Asesora Jurídica</v>
      </c>
      <c r="C148" s="80" t="s">
        <v>357</v>
      </c>
      <c r="D148" s="79" t="s">
        <v>146</v>
      </c>
      <c r="E148" s="121" t="s">
        <v>692</v>
      </c>
      <c r="F148" s="79" t="s">
        <v>700</v>
      </c>
      <c r="G148" s="80" t="s">
        <v>123</v>
      </c>
      <c r="H148" s="122">
        <v>1</v>
      </c>
      <c r="I148" s="121" t="s">
        <v>693</v>
      </c>
      <c r="J148" s="81" t="s">
        <v>702</v>
      </c>
      <c r="K148" s="82">
        <v>0</v>
      </c>
      <c r="L148" s="83">
        <v>1</v>
      </c>
      <c r="M148" s="84" t="s">
        <v>46</v>
      </c>
      <c r="N148" s="84" t="s">
        <v>74</v>
      </c>
      <c r="O148" s="84" t="s">
        <v>21</v>
      </c>
      <c r="P148" s="84" t="s">
        <v>36</v>
      </c>
      <c r="Q148" s="84" t="s">
        <v>229</v>
      </c>
      <c r="R148" s="85"/>
      <c r="S148" s="84" t="s">
        <v>703</v>
      </c>
      <c r="T148" s="84" t="s">
        <v>99</v>
      </c>
      <c r="U148" s="83">
        <v>1</v>
      </c>
      <c r="V148" s="81" t="s">
        <v>702</v>
      </c>
      <c r="W148" s="82">
        <v>0</v>
      </c>
      <c r="X148" s="78" t="s">
        <v>117</v>
      </c>
      <c r="Y148" s="83">
        <v>0.1</v>
      </c>
      <c r="Z148" s="81" t="s">
        <v>702</v>
      </c>
      <c r="AA148" s="82">
        <v>0</v>
      </c>
      <c r="AB148" s="85"/>
      <c r="AC148" s="85"/>
      <c r="AD148" s="83">
        <f t="shared" ref="AD148:AD150" si="124">+(AB148/Y148)</f>
        <v>0</v>
      </c>
      <c r="AE148" s="83" t="e">
        <f t="shared" ref="AE148:AE149" si="125">+(AC148/AA148)</f>
        <v>#DIV/0!</v>
      </c>
      <c r="AF148" s="83">
        <f t="shared" ref="AF148:AF152" si="126">+(AB148/U148)</f>
        <v>0</v>
      </c>
      <c r="AG148" s="83" t="e">
        <f t="shared" ref="AG148:AG149" si="127">+(AC148/W148)</f>
        <v>#DIV/0!</v>
      </c>
      <c r="AH148" s="83">
        <v>0.3</v>
      </c>
      <c r="AI148" s="81" t="s">
        <v>702</v>
      </c>
      <c r="AJ148" s="82">
        <v>0</v>
      </c>
      <c r="AK148" s="85"/>
      <c r="AL148" s="85"/>
      <c r="AM148" s="83">
        <f t="shared" ref="AM148:AM149" si="128">+(AK148/AH148)</f>
        <v>0</v>
      </c>
      <c r="AN148" s="83" t="e">
        <f t="shared" ref="AN148:AN149" si="129">+(AL148/AJ148)</f>
        <v>#DIV/0!</v>
      </c>
      <c r="AO148" s="83">
        <f t="shared" ref="AO148:AO152" si="130">+(AK148+AB148)/U148</f>
        <v>0</v>
      </c>
      <c r="AP148" s="87" t="e">
        <f t="shared" ref="AP148:AP149" si="131">+(AL148+AC148)/W148</f>
        <v>#DIV/0!</v>
      </c>
      <c r="AQ148" s="83">
        <v>0.3</v>
      </c>
      <c r="AR148" s="81" t="s">
        <v>702</v>
      </c>
      <c r="AS148" s="82">
        <v>0</v>
      </c>
      <c r="AT148" s="85"/>
      <c r="AU148" s="85"/>
      <c r="AV148" s="83">
        <f t="shared" ref="AV148:AV149" si="132">+(AT148/AQ148)</f>
        <v>0</v>
      </c>
      <c r="AW148" s="83" t="e">
        <f t="shared" ref="AW148:AW149" si="133">+(AU148/AS148)</f>
        <v>#DIV/0!</v>
      </c>
      <c r="AX148" s="83">
        <f t="shared" ref="AX148:AX152" si="134">+(AK148+AB148+AT148)/U148</f>
        <v>0</v>
      </c>
      <c r="AY148" s="83" t="e">
        <f t="shared" ref="AY148:AY149" si="135">+(AL148+AC148+AU148)/W148</f>
        <v>#DIV/0!</v>
      </c>
      <c r="AZ148" s="83">
        <v>0.3</v>
      </c>
      <c r="BA148" s="81" t="s">
        <v>702</v>
      </c>
      <c r="BB148" s="82">
        <v>0</v>
      </c>
      <c r="BC148" s="85"/>
      <c r="BD148" s="85"/>
      <c r="BE148" s="83">
        <f t="shared" ref="BE148:BE149" si="136">+(BC148/AZ148)</f>
        <v>0</v>
      </c>
      <c r="BF148" s="83" t="e">
        <f t="shared" ref="BF148:BF149" si="137">+(BD148/BB148)</f>
        <v>#DIV/0!</v>
      </c>
      <c r="BG148" s="83">
        <f t="shared" ref="BG148:BG152" si="138">+(AK148+AB148+AT148+BC148)/U148</f>
        <v>0</v>
      </c>
      <c r="BH148" s="83" t="e">
        <f t="shared" ref="BH148:BH149" si="139">+(AL148+AC148+AU148+BD148)/W148</f>
        <v>#DIV/0!</v>
      </c>
    </row>
    <row r="149" spans="1:67" ht="105" x14ac:dyDescent="0.25">
      <c r="A149" s="80">
        <v>11900</v>
      </c>
      <c r="B149" s="79" t="str">
        <f>+VLOOKUP(A149,'[6]TAB. REF. PA'!$A$4:$B$14,2,FALSE)</f>
        <v>Oficina Asesora Jurídica</v>
      </c>
      <c r="C149" s="80" t="s">
        <v>357</v>
      </c>
      <c r="D149" s="79" t="s">
        <v>146</v>
      </c>
      <c r="E149" s="121" t="s">
        <v>719</v>
      </c>
      <c r="F149" s="79" t="s">
        <v>704</v>
      </c>
      <c r="G149" s="80" t="s">
        <v>123</v>
      </c>
      <c r="H149" s="122">
        <v>1</v>
      </c>
      <c r="I149" s="121" t="s">
        <v>720</v>
      </c>
      <c r="J149" s="81" t="s">
        <v>705</v>
      </c>
      <c r="K149" s="82">
        <v>0</v>
      </c>
      <c r="L149" s="83">
        <v>1</v>
      </c>
      <c r="M149" s="84" t="s">
        <v>46</v>
      </c>
      <c r="N149" s="84" t="s">
        <v>74</v>
      </c>
      <c r="O149" s="84" t="s">
        <v>21</v>
      </c>
      <c r="P149" s="84" t="s">
        <v>36</v>
      </c>
      <c r="Q149" s="84" t="s">
        <v>229</v>
      </c>
      <c r="R149" s="85"/>
      <c r="S149" s="84" t="s">
        <v>706</v>
      </c>
      <c r="T149" s="84" t="s">
        <v>99</v>
      </c>
      <c r="U149" s="83">
        <v>1</v>
      </c>
      <c r="V149" s="81" t="s">
        <v>705</v>
      </c>
      <c r="W149" s="82">
        <v>0</v>
      </c>
      <c r="X149" s="78" t="s">
        <v>117</v>
      </c>
      <c r="Y149" s="83">
        <v>0.25</v>
      </c>
      <c r="Z149" s="81" t="s">
        <v>705</v>
      </c>
      <c r="AA149" s="82">
        <v>0</v>
      </c>
      <c r="AB149" s="85"/>
      <c r="AC149" s="85"/>
      <c r="AD149" s="83">
        <f t="shared" si="124"/>
        <v>0</v>
      </c>
      <c r="AE149" s="83" t="e">
        <f t="shared" si="125"/>
        <v>#DIV/0!</v>
      </c>
      <c r="AF149" s="83">
        <f t="shared" si="126"/>
        <v>0</v>
      </c>
      <c r="AG149" s="83" t="e">
        <f t="shared" si="127"/>
        <v>#DIV/0!</v>
      </c>
      <c r="AH149" s="83">
        <v>0.25</v>
      </c>
      <c r="AI149" s="81" t="s">
        <v>705</v>
      </c>
      <c r="AJ149" s="85"/>
      <c r="AK149" s="85"/>
      <c r="AL149" s="85"/>
      <c r="AM149" s="83">
        <f t="shared" si="128"/>
        <v>0</v>
      </c>
      <c r="AN149" s="83" t="e">
        <f t="shared" si="129"/>
        <v>#DIV/0!</v>
      </c>
      <c r="AO149" s="83">
        <f t="shared" si="130"/>
        <v>0</v>
      </c>
      <c r="AP149" s="87" t="e">
        <f t="shared" si="131"/>
        <v>#DIV/0!</v>
      </c>
      <c r="AQ149" s="83">
        <v>0.25</v>
      </c>
      <c r="AR149" s="81" t="s">
        <v>705</v>
      </c>
      <c r="AS149" s="85"/>
      <c r="AT149" s="85"/>
      <c r="AU149" s="85"/>
      <c r="AV149" s="83">
        <f t="shared" si="132"/>
        <v>0</v>
      </c>
      <c r="AW149" s="83" t="e">
        <f t="shared" si="133"/>
        <v>#DIV/0!</v>
      </c>
      <c r="AX149" s="83">
        <f t="shared" si="134"/>
        <v>0</v>
      </c>
      <c r="AY149" s="83" t="e">
        <f t="shared" si="135"/>
        <v>#DIV/0!</v>
      </c>
      <c r="AZ149" s="83">
        <v>0.25</v>
      </c>
      <c r="BA149" s="81" t="s">
        <v>705</v>
      </c>
      <c r="BB149" s="82">
        <v>0</v>
      </c>
      <c r="BC149" s="85"/>
      <c r="BD149" s="85"/>
      <c r="BE149" s="83">
        <f t="shared" si="136"/>
        <v>0</v>
      </c>
      <c r="BF149" s="83" t="e">
        <f t="shared" si="137"/>
        <v>#DIV/0!</v>
      </c>
      <c r="BG149" s="83">
        <f t="shared" si="138"/>
        <v>0</v>
      </c>
      <c r="BH149" s="83" t="e">
        <f t="shared" si="139"/>
        <v>#DIV/0!</v>
      </c>
    </row>
    <row r="150" spans="1:67" ht="270" x14ac:dyDescent="0.25">
      <c r="A150" s="80">
        <v>11900</v>
      </c>
      <c r="B150" s="79" t="str">
        <f>+VLOOKUP(A150,'[6]TAB. REF. PA'!$A$4:$B$14,2,FALSE)</f>
        <v>Oficina Asesora Jurídica</v>
      </c>
      <c r="C150" s="80" t="s">
        <v>357</v>
      </c>
      <c r="D150" s="79" t="s">
        <v>146</v>
      </c>
      <c r="E150" s="121" t="s">
        <v>701</v>
      </c>
      <c r="F150" s="124" t="s">
        <v>712</v>
      </c>
      <c r="G150" s="80" t="s">
        <v>123</v>
      </c>
      <c r="H150" s="122">
        <v>1</v>
      </c>
      <c r="I150" s="121" t="s">
        <v>707</v>
      </c>
      <c r="J150" s="123" t="s">
        <v>468</v>
      </c>
      <c r="K150" s="82">
        <f>+'[1]Plan Adquisiciones'!G80</f>
        <v>150000000</v>
      </c>
      <c r="L150" s="83">
        <v>1</v>
      </c>
      <c r="M150" s="84" t="s">
        <v>46</v>
      </c>
      <c r="N150" s="84" t="s">
        <v>74</v>
      </c>
      <c r="O150" s="84" t="s">
        <v>21</v>
      </c>
      <c r="P150" s="84" t="s">
        <v>36</v>
      </c>
      <c r="Q150" s="84" t="s">
        <v>229</v>
      </c>
      <c r="R150" s="85"/>
      <c r="S150" s="84" t="s">
        <v>182</v>
      </c>
      <c r="T150" s="84" t="s">
        <v>99</v>
      </c>
      <c r="U150" s="83">
        <v>1</v>
      </c>
      <c r="V150" s="81" t="str">
        <f t="shared" ref="V150:W152" si="140">+J150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W150" s="82">
        <f t="shared" si="140"/>
        <v>150000000</v>
      </c>
      <c r="X150" s="78"/>
      <c r="Y150" s="83">
        <v>0.25</v>
      </c>
      <c r="Z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A150" s="82">
        <f>+W150*Y150</f>
        <v>37500000</v>
      </c>
      <c r="AB150" s="85"/>
      <c r="AC150" s="85"/>
      <c r="AD150" s="83">
        <f t="shared" si="124"/>
        <v>0</v>
      </c>
      <c r="AE150" s="83"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F150" s="83">
        <f t="shared" si="126"/>
        <v>0</v>
      </c>
      <c r="AG150" s="83"/>
      <c r="AH150" s="83">
        <v>0.25</v>
      </c>
      <c r="AI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J150" s="85">
        <v>37500000</v>
      </c>
      <c r="AK150" s="85"/>
      <c r="AL150" s="85"/>
      <c r="AM150" s="83"/>
      <c r="AN150" s="83"/>
      <c r="AO150" s="83">
        <f t="shared" si="130"/>
        <v>0</v>
      </c>
      <c r="AP150" s="87"/>
      <c r="AQ150" s="83">
        <v>0.25</v>
      </c>
      <c r="AR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AS150" s="85">
        <v>37500000</v>
      </c>
      <c r="AT150" s="85"/>
      <c r="AU150" s="85"/>
      <c r="AV150" s="83"/>
      <c r="AW150" s="83"/>
      <c r="AX150" s="83">
        <f t="shared" si="134"/>
        <v>0</v>
      </c>
      <c r="AY150" s="83"/>
      <c r="AZ150" s="83">
        <v>0.25</v>
      </c>
      <c r="BA150" s="81" t="str">
        <f>+V150</f>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B150" s="82">
        <v>37500000</v>
      </c>
      <c r="BC150" s="85"/>
      <c r="BD150" s="85"/>
      <c r="BE150" s="83"/>
      <c r="BF150" s="83"/>
      <c r="BG150" s="83">
        <f t="shared" si="138"/>
        <v>0</v>
      </c>
      <c r="BH150" s="83"/>
    </row>
    <row r="151" spans="1:67" ht="270" x14ac:dyDescent="0.25">
      <c r="A151" s="80">
        <v>11900</v>
      </c>
      <c r="B151" s="79" t="str">
        <f>+VLOOKUP(A151,'[6]TAB. REF. PA'!$A$4:$B$14,2,FALSE)</f>
        <v>Oficina Asesora Jurídica</v>
      </c>
      <c r="C151" s="80" t="s">
        <v>357</v>
      </c>
      <c r="D151" s="79" t="s">
        <v>146</v>
      </c>
      <c r="E151" s="121" t="s">
        <v>721</v>
      </c>
      <c r="F151" s="124" t="s">
        <v>709</v>
      </c>
      <c r="G151" s="80" t="s">
        <v>123</v>
      </c>
      <c r="H151" s="122">
        <v>1</v>
      </c>
      <c r="I151" s="121" t="s">
        <v>708</v>
      </c>
      <c r="J151" s="123" t="s">
        <v>374</v>
      </c>
      <c r="K151" s="82">
        <f>+'[1]Plan Adquisiciones'!G79</f>
        <v>144328579</v>
      </c>
      <c r="L151" s="83">
        <v>1</v>
      </c>
      <c r="M151" s="84" t="s">
        <v>46</v>
      </c>
      <c r="N151" s="84" t="s">
        <v>74</v>
      </c>
      <c r="O151" s="84" t="s">
        <v>21</v>
      </c>
      <c r="P151" s="84" t="s">
        <v>36</v>
      </c>
      <c r="Q151" s="84" t="s">
        <v>229</v>
      </c>
      <c r="R151" s="85"/>
      <c r="S151" s="84" t="s">
        <v>182</v>
      </c>
      <c r="T151" s="84" t="s">
        <v>99</v>
      </c>
      <c r="U151" s="83">
        <v>1</v>
      </c>
      <c r="V151" s="81" t="str">
        <f t="shared" si="140"/>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W151" s="82">
        <f t="shared" si="140"/>
        <v>144328579</v>
      </c>
      <c r="X151" s="78"/>
      <c r="Y151" s="83">
        <v>0.25</v>
      </c>
      <c r="Z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A151" s="82">
        <f>+W151*Y151</f>
        <v>36082144.75</v>
      </c>
      <c r="AB151" s="85"/>
      <c r="AC151" s="85"/>
      <c r="AD151" s="83"/>
      <c r="AE151" s="83"/>
      <c r="AF151" s="83">
        <f t="shared" si="126"/>
        <v>0</v>
      </c>
      <c r="AG151" s="83"/>
      <c r="AH151" s="83">
        <v>0.25</v>
      </c>
      <c r="AI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J151" s="85">
        <v>36082144.75</v>
      </c>
      <c r="AK151" s="85"/>
      <c r="AL151" s="85"/>
      <c r="AM151" s="83"/>
      <c r="AN151" s="83"/>
      <c r="AO151" s="83">
        <f t="shared" si="130"/>
        <v>0</v>
      </c>
      <c r="AP151" s="87"/>
      <c r="AQ151" s="83">
        <v>0.25</v>
      </c>
      <c r="AR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AS151" s="85">
        <v>36082144.75</v>
      </c>
      <c r="AT151" s="85"/>
      <c r="AU151" s="85"/>
      <c r="AV151" s="83"/>
      <c r="AW151" s="83"/>
      <c r="AX151" s="83">
        <f t="shared" si="134"/>
        <v>0</v>
      </c>
      <c r="AY151" s="83"/>
      <c r="AZ151" s="83">
        <v>0.25</v>
      </c>
      <c r="BA151" s="81" t="str">
        <f>+V151</f>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B151" s="82">
        <v>36082144.75</v>
      </c>
      <c r="BC151" s="85"/>
      <c r="BD151" s="85"/>
      <c r="BE151" s="83"/>
      <c r="BF151" s="83"/>
      <c r="BG151" s="83">
        <f t="shared" si="138"/>
        <v>0</v>
      </c>
      <c r="BH151" s="83"/>
    </row>
    <row r="152" spans="1:67" ht="165" x14ac:dyDescent="0.25">
      <c r="A152" s="80">
        <v>11900</v>
      </c>
      <c r="B152" s="79" t="str">
        <f>+VLOOKUP(A152,'[6]TAB. REF. PA'!$A$4:$B$14,2,FALSE)</f>
        <v>Oficina Asesora Jurídica</v>
      </c>
      <c r="C152" s="80" t="s">
        <v>357</v>
      </c>
      <c r="D152" s="79" t="s">
        <v>146</v>
      </c>
      <c r="E152" s="121" t="s">
        <v>710</v>
      </c>
      <c r="F152" s="124" t="s">
        <v>713</v>
      </c>
      <c r="G152" s="80" t="s">
        <v>123</v>
      </c>
      <c r="H152" s="122">
        <v>1</v>
      </c>
      <c r="I152" s="121" t="s">
        <v>711</v>
      </c>
      <c r="J152" s="123" t="s">
        <v>375</v>
      </c>
      <c r="K152" s="82">
        <f>+'[1]Plan Adquisiciones'!G81+'[1]Plan Adquisiciones'!H176</f>
        <v>163716856</v>
      </c>
      <c r="L152" s="83">
        <v>1</v>
      </c>
      <c r="M152" s="84" t="s">
        <v>46</v>
      </c>
      <c r="N152" s="84" t="s">
        <v>74</v>
      </c>
      <c r="O152" s="84" t="s">
        <v>21</v>
      </c>
      <c r="P152" s="84" t="s">
        <v>36</v>
      </c>
      <c r="Q152" s="84" t="s">
        <v>229</v>
      </c>
      <c r="R152" s="85"/>
      <c r="S152" s="84" t="s">
        <v>714</v>
      </c>
      <c r="T152" s="84" t="s">
        <v>99</v>
      </c>
      <c r="U152" s="83">
        <v>1</v>
      </c>
      <c r="V152" s="81" t="str">
        <f t="shared" si="140"/>
        <v>Ejercer la representación judicial en los procesos penales en que sea parte la Administradora de los Recursos del Sistema General de Seguridad Social en Salud – Administradora de los Recursos del Sistema General de Seguridad Social en Salud - ADRES.</v>
      </c>
      <c r="W152" s="82">
        <f t="shared" si="140"/>
        <v>163716856</v>
      </c>
      <c r="X152" s="78"/>
      <c r="Y152" s="83">
        <v>0.25</v>
      </c>
      <c r="Z152" s="81" t="str">
        <f>+V152</f>
        <v>Ejercer la representación judicial en los procesos penales en que sea parte la Administradora de los Recursos del Sistema General de Seguridad Social en Salud – Administradora de los Recursos del Sistema General de Seguridad Social en Salud - ADRES.</v>
      </c>
      <c r="AA152" s="82">
        <f>+W152*Y152</f>
        <v>40929214</v>
      </c>
      <c r="AB152" s="85"/>
      <c r="AC152" s="85"/>
      <c r="AD152" s="83"/>
      <c r="AE152" s="83"/>
      <c r="AF152" s="83">
        <f t="shared" si="126"/>
        <v>0</v>
      </c>
      <c r="AG152" s="83"/>
      <c r="AH152" s="83">
        <v>0.25</v>
      </c>
      <c r="AI152" s="81" t="str">
        <f>+V152</f>
        <v>Ejercer la representación judicial en los procesos penales en que sea parte la Administradora de los Recursos del Sistema General de Seguridad Social en Salud – Administradora de los Recursos del Sistema General de Seguridad Social en Salud - ADRES.</v>
      </c>
      <c r="AJ152" s="85">
        <v>27286142</v>
      </c>
      <c r="AK152" s="85"/>
      <c r="AL152" s="85"/>
      <c r="AM152" s="83"/>
      <c r="AN152" s="83"/>
      <c r="AO152" s="83">
        <f t="shared" si="130"/>
        <v>0</v>
      </c>
      <c r="AP152" s="87"/>
      <c r="AQ152" s="83">
        <v>0.25</v>
      </c>
      <c r="AR152" s="81" t="str">
        <f>+V152</f>
        <v>Ejercer la representación judicial en los procesos penales en que sea parte la Administradora de los Recursos del Sistema General de Seguridad Social en Salud – Administradora de los Recursos del Sistema General de Seguridad Social en Salud - ADRES.</v>
      </c>
      <c r="AS152" s="85">
        <v>27286142</v>
      </c>
      <c r="AT152" s="85"/>
      <c r="AU152" s="85"/>
      <c r="AV152" s="83"/>
      <c r="AW152" s="83"/>
      <c r="AX152" s="83">
        <f t="shared" si="134"/>
        <v>0</v>
      </c>
      <c r="AY152" s="83"/>
      <c r="AZ152" s="83">
        <v>0.25</v>
      </c>
      <c r="BA152" s="81">
        <f>+BV152</f>
        <v>0</v>
      </c>
      <c r="BB152" s="82">
        <v>27286142</v>
      </c>
      <c r="BC152" s="85"/>
      <c r="BD152" s="85"/>
      <c r="BE152" s="83"/>
      <c r="BF152" s="83"/>
      <c r="BG152" s="83">
        <f t="shared" si="138"/>
        <v>0</v>
      </c>
      <c r="BH152" s="83"/>
    </row>
  </sheetData>
  <autoFilter ref="A8:BQ152"/>
  <mergeCells count="62">
    <mergeCell ref="BJ145:BK145"/>
    <mergeCell ref="BL145:BO145"/>
    <mergeCell ref="BJ141:BK141"/>
    <mergeCell ref="BL141:BO141"/>
    <mergeCell ref="BJ142:BK142"/>
    <mergeCell ref="BL142:BO142"/>
    <mergeCell ref="BJ143:BK143"/>
    <mergeCell ref="BL143:BO143"/>
    <mergeCell ref="BJ139:BO139"/>
    <mergeCell ref="BJ140:BK140"/>
    <mergeCell ref="BL140:BO140"/>
    <mergeCell ref="BJ144:BK144"/>
    <mergeCell ref="BL144:BO144"/>
    <mergeCell ref="BB121:BB125"/>
    <mergeCell ref="BD121:BD125"/>
    <mergeCell ref="K126:K128"/>
    <mergeCell ref="L126:L128"/>
    <mergeCell ref="AA126:AA128"/>
    <mergeCell ref="AC126:AC128"/>
    <mergeCell ref="AJ126:AJ128"/>
    <mergeCell ref="AL126:AL128"/>
    <mergeCell ref="AS126:AS128"/>
    <mergeCell ref="AU126:AU128"/>
    <mergeCell ref="BB126:BB128"/>
    <mergeCell ref="BD126:BD128"/>
    <mergeCell ref="AL121:AL125"/>
    <mergeCell ref="AS121:AS125"/>
    <mergeCell ref="AH7:AJ7"/>
    <mergeCell ref="AK7:AL7"/>
    <mergeCell ref="AM7:AN7"/>
    <mergeCell ref="AQ7:AS7"/>
    <mergeCell ref="K121:K125"/>
    <mergeCell ref="L121:L125"/>
    <mergeCell ref="AA121:AA125"/>
    <mergeCell ref="AC121:AC125"/>
    <mergeCell ref="AJ121:AJ125"/>
    <mergeCell ref="AO6:AP7"/>
    <mergeCell ref="AQ6:AW6"/>
    <mergeCell ref="AH6:AN6"/>
    <mergeCell ref="AU121:AU125"/>
    <mergeCell ref="AX6:AY7"/>
    <mergeCell ref="AZ6:BF6"/>
    <mergeCell ref="BG6:BH7"/>
    <mergeCell ref="AT7:AU7"/>
    <mergeCell ref="AV7:AW7"/>
    <mergeCell ref="BI6:BP6"/>
    <mergeCell ref="AZ7:BB7"/>
    <mergeCell ref="BC7:BD7"/>
    <mergeCell ref="BE7:BF7"/>
    <mergeCell ref="BI7:BJ7"/>
    <mergeCell ref="BK7:BL7"/>
    <mergeCell ref="BM7:BN7"/>
    <mergeCell ref="BO7:BP7"/>
    <mergeCell ref="D2:M2"/>
    <mergeCell ref="D3:M3"/>
    <mergeCell ref="D4:M4"/>
    <mergeCell ref="Y6:AE6"/>
    <mergeCell ref="AF6:AG7"/>
    <mergeCell ref="U7:X7"/>
    <mergeCell ref="Y7:AA7"/>
    <mergeCell ref="AB7:AC7"/>
    <mergeCell ref="AD7:AE7"/>
  </mergeCells>
  <conditionalFormatting sqref="BK134:BP135 BI136:BP137 BI25:BP35 BI109:BP121 BI90:BP95 BI44:BP54 BI57:BP62 BI74:BP88 BI123:BP132">
    <cfRule type="cellIs" dxfId="9801" priority="85" operator="equal">
      <formula>$BJ$140</formula>
    </cfRule>
    <cfRule type="cellIs" dxfId="9800" priority="86" operator="greaterThan">
      <formula>1</formula>
    </cfRule>
    <cfRule type="cellIs" dxfId="9799" priority="87" operator="equal">
      <formula>100%</formula>
    </cfRule>
    <cfRule type="cellIs" dxfId="9798" priority="88" operator="between">
      <formula>80%</formula>
      <formula>99%</formula>
    </cfRule>
    <cfRule type="cellIs" dxfId="9797" priority="89" operator="between">
      <formula>0%</formula>
      <formula>79%</formula>
    </cfRule>
  </conditionalFormatting>
  <conditionalFormatting sqref="BI133:BP133">
    <cfRule type="cellIs" dxfId="9796" priority="79" operator="equal">
      <formula>$BJ$140</formula>
    </cfRule>
    <cfRule type="cellIs" dxfId="9795" priority="80" operator="greaterThan">
      <formula>1</formula>
    </cfRule>
    <cfRule type="cellIs" dxfId="9794" priority="81" operator="equal">
      <formula>100%</formula>
    </cfRule>
    <cfRule type="cellIs" dxfId="9793" priority="82" operator="between">
      <formula>80%</formula>
      <formula>99%</formula>
    </cfRule>
    <cfRule type="cellIs" dxfId="9792" priority="83" operator="between">
      <formula>0%</formula>
      <formula>79%</formula>
    </cfRule>
  </conditionalFormatting>
  <conditionalFormatting sqref="BI134:BJ135">
    <cfRule type="cellIs" dxfId="9791" priority="73" operator="equal">
      <formula>$BJ$140</formula>
    </cfRule>
    <cfRule type="cellIs" dxfId="9790" priority="74" operator="greaterThan">
      <formula>1</formula>
    </cfRule>
    <cfRule type="cellIs" dxfId="9789" priority="75" operator="equal">
      <formula>100%</formula>
    </cfRule>
    <cfRule type="cellIs" dxfId="9788" priority="76" operator="between">
      <formula>80%</formula>
      <formula>99%</formula>
    </cfRule>
    <cfRule type="cellIs" dxfId="9787" priority="77" operator="between">
      <formula>0%</formula>
      <formula>79%</formula>
    </cfRule>
  </conditionalFormatting>
  <conditionalFormatting sqref="BI10:BP23">
    <cfRule type="cellIs" dxfId="9786" priority="67" operator="equal">
      <formula>$BJ$140</formula>
    </cfRule>
    <cfRule type="cellIs" dxfId="9785" priority="68" operator="greaterThan">
      <formula>1</formula>
    </cfRule>
    <cfRule type="cellIs" dxfId="9784" priority="69" operator="equal">
      <formula>100%</formula>
    </cfRule>
    <cfRule type="cellIs" dxfId="9783" priority="70" operator="between">
      <formula>80%</formula>
      <formula>99%</formula>
    </cfRule>
    <cfRule type="cellIs" dxfId="9782" priority="71" operator="between">
      <formula>0%</formula>
      <formula>79%</formula>
    </cfRule>
  </conditionalFormatting>
  <conditionalFormatting sqref="BI9:BP9">
    <cfRule type="cellIs" dxfId="9781" priority="61" operator="equal">
      <formula>$BJ$140</formula>
    </cfRule>
    <cfRule type="cellIs" dxfId="9780" priority="62" operator="greaterThan">
      <formula>1</formula>
    </cfRule>
    <cfRule type="cellIs" dxfId="9779" priority="63" operator="equal">
      <formula>100%</formula>
    </cfRule>
    <cfRule type="cellIs" dxfId="9778" priority="64" operator="between">
      <formula>80%</formula>
      <formula>99%</formula>
    </cfRule>
    <cfRule type="cellIs" dxfId="9777" priority="65" operator="between">
      <formula>0%</formula>
      <formula>79%</formula>
    </cfRule>
  </conditionalFormatting>
  <conditionalFormatting sqref="BI24:BP24">
    <cfRule type="cellIs" dxfId="9776" priority="55" operator="equal">
      <formula>$BJ$140</formula>
    </cfRule>
    <cfRule type="cellIs" dxfId="9775" priority="56" operator="greaterThan">
      <formula>1</formula>
    </cfRule>
    <cfRule type="cellIs" dxfId="9774" priority="57" operator="equal">
      <formula>100%</formula>
    </cfRule>
    <cfRule type="cellIs" dxfId="9773" priority="58" operator="between">
      <formula>80%</formula>
      <formula>99%</formula>
    </cfRule>
    <cfRule type="cellIs" dxfId="9772" priority="59" operator="between">
      <formula>0%</formula>
      <formula>79%</formula>
    </cfRule>
  </conditionalFormatting>
  <conditionalFormatting sqref="BI63:BP70">
    <cfRule type="cellIs" dxfId="9771" priority="49" operator="equal">
      <formula>$BJ$140</formula>
    </cfRule>
    <cfRule type="cellIs" dxfId="9770" priority="50" operator="greaterThan">
      <formula>1</formula>
    </cfRule>
    <cfRule type="cellIs" dxfId="9769" priority="51" operator="equal">
      <formula>100%</formula>
    </cfRule>
    <cfRule type="cellIs" dxfId="9768" priority="52" operator="between">
      <formula>80%</formula>
      <formula>99%</formula>
    </cfRule>
    <cfRule type="cellIs" dxfId="9767" priority="53" operator="between">
      <formula>0%</formula>
      <formula>79%</formula>
    </cfRule>
  </conditionalFormatting>
  <conditionalFormatting sqref="BI36:BP43">
    <cfRule type="cellIs" dxfId="9766" priority="43" operator="equal">
      <formula>$BJ$140</formula>
    </cfRule>
    <cfRule type="cellIs" dxfId="9765" priority="44" operator="greaterThan">
      <formula>1</formula>
    </cfRule>
    <cfRule type="cellIs" dxfId="9764" priority="45" operator="equal">
      <formula>100%</formula>
    </cfRule>
    <cfRule type="cellIs" dxfId="9763" priority="46" operator="between">
      <formula>80%</formula>
      <formula>99%</formula>
    </cfRule>
    <cfRule type="cellIs" dxfId="9762" priority="47" operator="between">
      <formula>0%</formula>
      <formula>79%</formula>
    </cfRule>
  </conditionalFormatting>
  <conditionalFormatting sqref="BI89:BP89">
    <cfRule type="cellIs" dxfId="9761" priority="37" operator="equal">
      <formula>$BJ$140</formula>
    </cfRule>
    <cfRule type="cellIs" dxfId="9760" priority="38" operator="greaterThan">
      <formula>1</formula>
    </cfRule>
    <cfRule type="cellIs" dxfId="9759" priority="39" operator="equal">
      <formula>100%</formula>
    </cfRule>
    <cfRule type="cellIs" dxfId="9758" priority="40" operator="between">
      <formula>80%</formula>
      <formula>99%</formula>
    </cfRule>
    <cfRule type="cellIs" dxfId="9757" priority="41" operator="between">
      <formula>0%</formula>
      <formula>79%</formula>
    </cfRule>
  </conditionalFormatting>
  <conditionalFormatting sqref="BI96:BP105">
    <cfRule type="cellIs" dxfId="9756" priority="31" operator="equal">
      <formula>$BJ$140</formula>
    </cfRule>
    <cfRule type="cellIs" dxfId="9755" priority="32" operator="greaterThan">
      <formula>1</formula>
    </cfRule>
    <cfRule type="cellIs" dxfId="9754" priority="33" operator="equal">
      <formula>100%</formula>
    </cfRule>
    <cfRule type="cellIs" dxfId="9753" priority="34" operator="between">
      <formula>80%</formula>
      <formula>99%</formula>
    </cfRule>
    <cfRule type="cellIs" dxfId="9752" priority="35" operator="between">
      <formula>0%</formula>
      <formula>79%</formula>
    </cfRule>
  </conditionalFormatting>
  <conditionalFormatting sqref="BI122:BP122">
    <cfRule type="cellIs" dxfId="9751" priority="25" operator="equal">
      <formula>$BJ$140</formula>
    </cfRule>
    <cfRule type="cellIs" dxfId="9750" priority="26" operator="greaterThan">
      <formula>1</formula>
    </cfRule>
    <cfRule type="cellIs" dxfId="9749" priority="27" operator="equal">
      <formula>100%</formula>
    </cfRule>
    <cfRule type="cellIs" dxfId="9748" priority="28" operator="between">
      <formula>80%</formula>
      <formula>99%</formula>
    </cfRule>
    <cfRule type="cellIs" dxfId="9747" priority="29" operator="between">
      <formula>0%</formula>
      <formula>79%</formula>
    </cfRule>
  </conditionalFormatting>
  <conditionalFormatting sqref="BI106:BP108">
    <cfRule type="cellIs" dxfId="9746" priority="19" operator="equal">
      <formula>$BJ$140</formula>
    </cfRule>
    <cfRule type="cellIs" dxfId="9745" priority="20" operator="greaterThan">
      <formula>1</formula>
    </cfRule>
    <cfRule type="cellIs" dxfId="9744" priority="21" operator="equal">
      <formula>100%</formula>
    </cfRule>
    <cfRule type="cellIs" dxfId="9743" priority="22" operator="between">
      <formula>80%</formula>
      <formula>99%</formula>
    </cfRule>
    <cfRule type="cellIs" dxfId="9742" priority="23" operator="between">
      <formula>0%</formula>
      <formula>79%</formula>
    </cfRule>
  </conditionalFormatting>
  <conditionalFormatting sqref="BI55:BP55">
    <cfRule type="cellIs" dxfId="9741" priority="13" operator="equal">
      <formula>$BJ$140</formula>
    </cfRule>
    <cfRule type="cellIs" dxfId="9740" priority="14" operator="greaterThan">
      <formula>1</formula>
    </cfRule>
    <cfRule type="cellIs" dxfId="9739" priority="15" operator="equal">
      <formula>100%</formula>
    </cfRule>
    <cfRule type="cellIs" dxfId="9738" priority="16" operator="between">
      <formula>80%</formula>
      <formula>99%</formula>
    </cfRule>
    <cfRule type="cellIs" dxfId="9737" priority="17" operator="between">
      <formula>0%</formula>
      <formula>79%</formula>
    </cfRule>
  </conditionalFormatting>
  <conditionalFormatting sqref="BI56:BP56">
    <cfRule type="cellIs" dxfId="9736" priority="7" operator="equal">
      <formula>$BJ$140</formula>
    </cfRule>
    <cfRule type="cellIs" dxfId="9735" priority="8" operator="greaterThan">
      <formula>1</formula>
    </cfRule>
    <cfRule type="cellIs" dxfId="9734" priority="9" operator="equal">
      <formula>100%</formula>
    </cfRule>
    <cfRule type="cellIs" dxfId="9733" priority="10" operator="between">
      <formula>80%</formula>
      <formula>99%</formula>
    </cfRule>
    <cfRule type="cellIs" dxfId="9732" priority="11" operator="between">
      <formula>0%</formula>
      <formula>79%</formula>
    </cfRule>
  </conditionalFormatting>
  <conditionalFormatting sqref="BI71:BP73">
    <cfRule type="cellIs" dxfId="9731" priority="1" operator="equal">
      <formula>$BJ$140</formula>
    </cfRule>
    <cfRule type="cellIs" dxfId="9730" priority="2" operator="greaterThan">
      <formula>1</formula>
    </cfRule>
    <cfRule type="cellIs" dxfId="9729" priority="3" operator="equal">
      <formula>100%</formula>
    </cfRule>
    <cfRule type="cellIs" dxfId="9728" priority="4" operator="between">
      <formula>80%</formula>
      <formula>99%</formula>
    </cfRule>
    <cfRule type="cellIs" dxfId="9727" priority="5" operator="between">
      <formula>0%</formula>
      <formula>79%</formula>
    </cfRule>
  </conditionalFormatting>
  <pageMargins left="0.7" right="0.7" top="0.75" bottom="0.75" header="0.3" footer="0.3"/>
  <pageSetup paperSize="41" scale="64" orientation="landscape" r:id="rId1"/>
  <colBreaks count="4" manualBreakCount="4">
    <brk id="24" max="1048575" man="1"/>
    <brk id="33" max="1048575" man="1"/>
    <brk id="42" max="1048575" man="1"/>
    <brk id="5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 operator="containsText" id="{007EAB42-66F3-4F2E-9945-1FD203AC41AA}">
            <xm:f>NOT(ISERROR(SEARCH($BJ$141,BI25)))</xm:f>
            <xm:f>$BJ$141</xm:f>
            <x14:dxf>
              <font>
                <color theme="4"/>
              </font>
              <fill>
                <patternFill>
                  <bgColor theme="5" tint="0.59996337778862885"/>
                </patternFill>
              </fill>
            </x14:dxf>
          </x14:cfRule>
          <xm:sqref>BK134:BP135 BI136:BP137 BI25:BP35 BI109:BP121 BI90:BP95 BI44:BP54 BI57:BP62 BI74:BP88 BI123:BP132</xm:sqref>
        </x14:conditionalFormatting>
        <x14:conditionalFormatting xmlns:xm="http://schemas.microsoft.com/office/excel/2006/main">
          <x14:cfRule type="containsText" priority="84" operator="containsText" id="{7681E8CC-6538-4190-91D8-571AC842841C}">
            <xm:f>NOT(ISERROR(SEARCH($BJ$141,BI133)))</xm:f>
            <xm:f>$BJ$141</xm:f>
            <x14:dxf>
              <font>
                <color theme="4"/>
              </font>
              <fill>
                <patternFill>
                  <bgColor theme="5" tint="0.59996337778862885"/>
                </patternFill>
              </fill>
            </x14:dxf>
          </x14:cfRule>
          <xm:sqref>BI133:BP133</xm:sqref>
        </x14:conditionalFormatting>
        <x14:conditionalFormatting xmlns:xm="http://schemas.microsoft.com/office/excel/2006/main">
          <x14:cfRule type="containsText" priority="78" operator="containsText" id="{C629A05A-F0BA-4FA3-8FF1-DED49DC8ABB5}">
            <xm:f>NOT(ISERROR(SEARCH($BJ$141,BI134)))</xm:f>
            <xm:f>$BJ$141</xm:f>
            <x14:dxf>
              <font>
                <color theme="4"/>
              </font>
              <fill>
                <patternFill>
                  <bgColor theme="5" tint="0.59996337778862885"/>
                </patternFill>
              </fill>
            </x14:dxf>
          </x14:cfRule>
          <xm:sqref>BI134:BJ135</xm:sqref>
        </x14:conditionalFormatting>
        <x14:conditionalFormatting xmlns:xm="http://schemas.microsoft.com/office/excel/2006/main">
          <x14:cfRule type="containsText" priority="72" operator="containsText" id="{D1C1D12E-8CAE-471B-8CE4-376F31E4B5CA}">
            <xm:f>NOT(ISERROR(SEARCH($BJ$141,BI10)))</xm:f>
            <xm:f>$BJ$141</xm:f>
            <x14:dxf>
              <font>
                <color theme="4"/>
              </font>
              <fill>
                <patternFill>
                  <bgColor theme="5" tint="0.59996337778862885"/>
                </patternFill>
              </fill>
            </x14:dxf>
          </x14:cfRule>
          <xm:sqref>BI10:BP23</xm:sqref>
        </x14:conditionalFormatting>
        <x14:conditionalFormatting xmlns:xm="http://schemas.microsoft.com/office/excel/2006/main">
          <x14:cfRule type="containsText" priority="66" operator="containsText" id="{F11C4EC2-27BC-4F02-888F-7F3BA9027A22}">
            <xm:f>NOT(ISERROR(SEARCH($BJ$141,BI9)))</xm:f>
            <xm:f>$BJ$141</xm:f>
            <x14:dxf>
              <font>
                <color theme="4"/>
              </font>
              <fill>
                <patternFill>
                  <bgColor theme="5" tint="0.59996337778862885"/>
                </patternFill>
              </fill>
            </x14:dxf>
          </x14:cfRule>
          <xm:sqref>BI9:BP9</xm:sqref>
        </x14:conditionalFormatting>
        <x14:conditionalFormatting xmlns:xm="http://schemas.microsoft.com/office/excel/2006/main">
          <x14:cfRule type="containsText" priority="60" operator="containsText" id="{D1F2B015-672B-45DE-B90E-100129E951E1}">
            <xm:f>NOT(ISERROR(SEARCH($BJ$141,BI24)))</xm:f>
            <xm:f>$BJ$141</xm:f>
            <x14:dxf>
              <font>
                <color theme="4"/>
              </font>
              <fill>
                <patternFill>
                  <bgColor theme="5" tint="0.59996337778862885"/>
                </patternFill>
              </fill>
            </x14:dxf>
          </x14:cfRule>
          <xm:sqref>BI24:BP24</xm:sqref>
        </x14:conditionalFormatting>
        <x14:conditionalFormatting xmlns:xm="http://schemas.microsoft.com/office/excel/2006/main">
          <x14:cfRule type="containsText" priority="54" operator="containsText" id="{B68D4765-311B-47C7-BE22-74B2E23C6FD7}">
            <xm:f>NOT(ISERROR(SEARCH($BJ$141,BI63)))</xm:f>
            <xm:f>$BJ$141</xm:f>
            <x14:dxf>
              <font>
                <color theme="4"/>
              </font>
              <fill>
                <patternFill>
                  <bgColor theme="5" tint="0.59996337778862885"/>
                </patternFill>
              </fill>
            </x14:dxf>
          </x14:cfRule>
          <xm:sqref>BI63:BP70</xm:sqref>
        </x14:conditionalFormatting>
        <x14:conditionalFormatting xmlns:xm="http://schemas.microsoft.com/office/excel/2006/main">
          <x14:cfRule type="containsText" priority="48" operator="containsText" id="{D6EB5F20-C001-4A53-9C6B-3507F3507491}">
            <xm:f>NOT(ISERROR(SEARCH($BJ$141,BI36)))</xm:f>
            <xm:f>$BJ$141</xm:f>
            <x14:dxf>
              <font>
                <color theme="4"/>
              </font>
              <fill>
                <patternFill>
                  <bgColor theme="5" tint="0.59996337778862885"/>
                </patternFill>
              </fill>
            </x14:dxf>
          </x14:cfRule>
          <xm:sqref>BI36:BP43</xm:sqref>
        </x14:conditionalFormatting>
        <x14:conditionalFormatting xmlns:xm="http://schemas.microsoft.com/office/excel/2006/main">
          <x14:cfRule type="containsText" priority="42" operator="containsText" id="{F84249D9-6A1B-457A-906D-BE3061A2BA61}">
            <xm:f>NOT(ISERROR(SEARCH($BJ$141,BI89)))</xm:f>
            <xm:f>$BJ$141</xm:f>
            <x14:dxf>
              <font>
                <color theme="4"/>
              </font>
              <fill>
                <patternFill>
                  <bgColor theme="5" tint="0.59996337778862885"/>
                </patternFill>
              </fill>
            </x14:dxf>
          </x14:cfRule>
          <xm:sqref>BI89:BP89</xm:sqref>
        </x14:conditionalFormatting>
        <x14:conditionalFormatting xmlns:xm="http://schemas.microsoft.com/office/excel/2006/main">
          <x14:cfRule type="containsText" priority="36" operator="containsText" id="{3677EEC8-BC7E-4E0C-ADA7-3D03757DE9DA}">
            <xm:f>NOT(ISERROR(SEARCH($BJ$141,BI96)))</xm:f>
            <xm:f>$BJ$141</xm:f>
            <x14:dxf>
              <font>
                <color theme="4"/>
              </font>
              <fill>
                <patternFill>
                  <bgColor theme="5" tint="0.59996337778862885"/>
                </patternFill>
              </fill>
            </x14:dxf>
          </x14:cfRule>
          <xm:sqref>BI96:BP105</xm:sqref>
        </x14:conditionalFormatting>
        <x14:conditionalFormatting xmlns:xm="http://schemas.microsoft.com/office/excel/2006/main">
          <x14:cfRule type="containsText" priority="30" operator="containsText" id="{4C853C18-6E83-4DB3-8176-1CC1A9DED568}">
            <xm:f>NOT(ISERROR(SEARCH($BJ$141,BI122)))</xm:f>
            <xm:f>$BJ$141</xm:f>
            <x14:dxf>
              <font>
                <color theme="4"/>
              </font>
              <fill>
                <patternFill>
                  <bgColor theme="5" tint="0.59996337778862885"/>
                </patternFill>
              </fill>
            </x14:dxf>
          </x14:cfRule>
          <xm:sqref>BI122:BP122</xm:sqref>
        </x14:conditionalFormatting>
        <x14:conditionalFormatting xmlns:xm="http://schemas.microsoft.com/office/excel/2006/main">
          <x14:cfRule type="containsText" priority="24" operator="containsText" id="{B7A2536B-96FF-49AB-88C5-BCC64412A8B7}">
            <xm:f>NOT(ISERROR(SEARCH($BJ$141,BI106)))</xm:f>
            <xm:f>$BJ$141</xm:f>
            <x14:dxf>
              <font>
                <color theme="4"/>
              </font>
              <fill>
                <patternFill>
                  <bgColor theme="5" tint="0.59996337778862885"/>
                </patternFill>
              </fill>
            </x14:dxf>
          </x14:cfRule>
          <xm:sqref>BI106:BP108</xm:sqref>
        </x14:conditionalFormatting>
        <x14:conditionalFormatting xmlns:xm="http://schemas.microsoft.com/office/excel/2006/main">
          <x14:cfRule type="containsText" priority="18" operator="containsText" id="{4053C043-27AD-409A-A3A0-5D4075017B80}">
            <xm:f>NOT(ISERROR(SEARCH($BJ$141,BI55)))</xm:f>
            <xm:f>$BJ$141</xm:f>
            <x14:dxf>
              <font>
                <color theme="4"/>
              </font>
              <fill>
                <patternFill>
                  <bgColor theme="5" tint="0.59996337778862885"/>
                </patternFill>
              </fill>
            </x14:dxf>
          </x14:cfRule>
          <xm:sqref>BI55:BP55</xm:sqref>
        </x14:conditionalFormatting>
        <x14:conditionalFormatting xmlns:xm="http://schemas.microsoft.com/office/excel/2006/main">
          <x14:cfRule type="containsText" priority="12" operator="containsText" id="{8F19641C-41A8-4A4B-87B1-44778F6749BD}">
            <xm:f>NOT(ISERROR(SEARCH($BJ$141,BI56)))</xm:f>
            <xm:f>$BJ$141</xm:f>
            <x14:dxf>
              <font>
                <color theme="4"/>
              </font>
              <fill>
                <patternFill>
                  <bgColor theme="5" tint="0.59996337778862885"/>
                </patternFill>
              </fill>
            </x14:dxf>
          </x14:cfRule>
          <xm:sqref>BI56:BP56</xm:sqref>
        </x14:conditionalFormatting>
        <x14:conditionalFormatting xmlns:xm="http://schemas.microsoft.com/office/excel/2006/main">
          <x14:cfRule type="containsText" priority="6" operator="containsText" id="{8584328B-D347-4C8D-A08F-4FFDF8A1B3AF}">
            <xm:f>NOT(ISERROR(SEARCH($BJ$141,BI71)))</xm:f>
            <xm:f>$BJ$141</xm:f>
            <x14:dxf>
              <font>
                <color theme="4"/>
              </font>
              <fill>
                <patternFill>
                  <bgColor theme="5" tint="0.59996337778862885"/>
                </patternFill>
              </fill>
            </x14:dxf>
          </x14:cfRule>
          <xm:sqref>BI71:BP73</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14:formula1>
            <xm:f>'D:\Users\magdiela.delacarrera\Documents\PLAN DE ACCIÓN GRUPO COBRO COACTIVO\[Copia de Plan Accion ADRES Vigencia 2018 Cobro Coactivo 15-01-18 remitido x Ricardo.xlsx]TAB. REF. PA'!#REF!</xm:f>
          </x14:formula1>
          <xm:sqref>S131 D132 D148:D152 A132 A148:A152 M132:T132 M148:T149 X132 X148:X149 M150:R152 T150:T152</xm:sqref>
        </x14:dataValidation>
        <x14:dataValidation type="list" allowBlank="1" showInputMessage="1" showErrorMessage="1">
          <x14:formula1>
            <xm:f>'C:\Users\norela.briceno\Documents\Plan de acción\[Plan Accion ADRES Vigencia 2018 30-01-18.xlsx]TAB. REF. PA'!#REF!</xm:f>
          </x14:formula1>
          <xm:sqref>S150:S152 S117:S119</xm:sqref>
        </x14:dataValidation>
        <x14:dataValidation type="list" allowBlank="1" showInputMessage="1" showErrorMessage="1">
          <x14:formula1>
            <xm:f>'C:\Users\norela.briceno\Documents\Plan de acción\[Plan Accion ADRES Vigencia 2018 30-01-18.xlsx]TAB. REF. PA'!#REF!</xm:f>
          </x14:formula1>
          <xm:sqref>S44</xm:sqref>
        </x14:dataValidation>
        <x14:dataValidation type="list" allowBlank="1" showInputMessage="1" showErrorMessage="1">
          <x14:formula1>
            <xm:f>'C:\Users\norela.briceno\AppData\Local\Microsoft\Windows\INetCache\Content.Outlook\FBI6K8AZ\[Plan Accion ADRES Vigencia 2018 ADRES 26-01-18 JCB.xlsx]TAB. REF. PA'!#REF!</xm:f>
          </x14:formula1>
          <xm:sqref>X103 S103:T103</xm:sqref>
        </x14:dataValidation>
        <x14:dataValidation type="list" allowBlank="1" showInputMessage="1" showErrorMessage="1">
          <x14:formula1>
            <xm:f>'C:\Users\norela.briceno\Documents\Plan de acción\[Plan Accion ADRES - DAF y OAJ.xlsx]TAB. REF. PA'!#REF!</xm:f>
          </x14:formula1>
          <xm:sqref>S102 X117:X132 M117:R132 T117:T132 A117:A132 D117:D132 S120:S130</xm:sqref>
        </x14:dataValidation>
        <x14:dataValidation type="list" allowBlank="1" showInputMessage="1" showErrorMessage="1">
          <x14:formula1>
            <xm:f>'C:\Users\norela.briceno\AppData\Local\Microsoft\Windows\INetCache\Content.Outlook\FBI6K8AZ\[PLAN DE ACCION TALENTO HUMANO OK.xlsx]TAB. REF. PA'!#REF!</xm:f>
          </x14:formula1>
          <xm:sqref>S100:S101 X100 T100 T146:T147</xm:sqref>
        </x14:dataValidation>
        <x14:dataValidation type="list" allowBlank="1" showInputMessage="1" showErrorMessage="1">
          <x14:formula1>
            <xm:f>'D:\Users\Alicia.benitez\Documents\PLAN DE ACCION\[Apoyo Logistico.xlsx]TAB. REF. PA'!#REF!</xm:f>
          </x14:formula1>
          <xm:sqref>S107 S146:S147</xm:sqref>
        </x14:dataValidation>
        <x14:dataValidation type="list" allowBlank="1" showInputMessage="1" showErrorMessage="1">
          <x14:formula1>
            <xm:f>'D:\Users\Alicia.benitez\Documents\PLAN DE ACCION\[Atencion al Ciudadano.XLSX]TAB. REF. PA'!#REF!</xm:f>
          </x14:formula1>
          <xm:sqref>T106</xm:sqref>
        </x14:dataValidation>
        <x14:dataValidation type="list" allowBlank="1" showInputMessage="1" showErrorMessage="1">
          <x14:formula1>
            <xm:f>'C:\Users\norela.briceno\Documents\Plan de acción\Plan Accion 2018\[Plan Accion ADRES Vigencia 2018 26-01-18 Atención al Ciudadano.xlsx]TAB. REF. PA'!#REF!</xm:f>
          </x14:formula1>
          <xm:sqref>D106:D107 T107 X106:X107 S106 A106:A107</xm:sqref>
        </x14:dataValidation>
        <x14:dataValidation type="list" allowBlank="1" showInputMessage="1" showErrorMessage="1">
          <x14:formula1>
            <xm:f>'C:\Users\norela.briceno\Documents\Plan de acción\Plan Accion 2018\[Plan Accion ADRES - DAF Gestión Documental.xlsx]TAB. REF. PA'!#REF!</xm:f>
          </x14:formula1>
          <xm:sqref>X105 X108 M105:T105 M108:T108 A105 A108 A146:A147 D105 D108 D146:D147</xm:sqref>
        </x14:dataValidation>
        <x14:dataValidation type="list" allowBlank="1" showInputMessage="1" showErrorMessage="1">
          <x14:formula1>
            <xm:f>'C:\Users\norela.briceno\Documents\Plan de acción\[Plan Accion ADRES Vigencia 2018 Preliminar DTIC ADRES 25-01-18.xlsx]TAB. REF. PA'!#REF!</xm:f>
          </x14:formula1>
          <xm:sqref>X74:X86 A74:A86 D74:D86 M74:T86</xm:sqref>
        </x14:dataValidation>
        <x14:dataValidation type="list" allowBlank="1" showInputMessage="1" showErrorMessage="1">
          <x14:formula1>
            <xm:f>'C:\Users\norela.briceno\Documents\Plan de acción\[Plan Accion ADRES Vigencia 2018 30-01-18.xlsx]TAB. REF. PA'!#REF!</xm:f>
          </x14:formula1>
          <xm:sqref>A9:A73 A109:A116 A133:A137 A87:A104</xm:sqref>
        </x14:dataValidation>
        <x14:dataValidation type="list" allowBlank="1" showInputMessage="1" showErrorMessage="1">
          <x14:formula1>
            <xm:f>'C:\Users\norela.briceno\Documents\Plan de acción\[Plan Accion ADRES Vigencia 2018 30-01-18.xlsx]TAB. REF. PA'!#REF!</xm:f>
          </x14:formula1>
          <xm:sqref>T9:T73 T104 T101:T102 T109:T116 T133:T137 T87:T99</xm:sqref>
        </x14:dataValidation>
        <x14:dataValidation type="list" allowBlank="1" showInputMessage="1" showErrorMessage="1">
          <x14:formula1>
            <xm:f>'C:\Users\norela.briceno\Documents\Plan de acción\[Plan Accion ADRES Vigencia 2018 30-01-18.xlsx]TAB. REF. PA'!#REF!</xm:f>
          </x14:formula1>
          <xm:sqref>Q9:Q73 Q106:Q107 Q146:Q147 Q109:Q116 Q133:Q137 Q87:Q104</xm:sqref>
        </x14:dataValidation>
        <x14:dataValidation type="list" allowBlank="1" showInputMessage="1" showErrorMessage="1">
          <x14:formula1>
            <xm:f>'C:\Users\norela.briceno\Documents\Plan de acción\[Plan Accion ADRES Vigencia 2018 30-01-18.xlsx]TAB. REF. PA'!#REF!</xm:f>
          </x14:formula1>
          <xm:sqref>P9:P73 P106:P107 P146:P147 P109:P116 P133:P137 P87:P104</xm:sqref>
        </x14:dataValidation>
        <x14:dataValidation type="list" allowBlank="1" showInputMessage="1" showErrorMessage="1">
          <x14:formula1>
            <xm:f>'C:\Users\norela.briceno\Documents\Plan de acción\[Plan Accion ADRES Vigencia 2018 30-01-18.xlsx]TAB. REF. PA'!#REF!</xm:f>
          </x14:formula1>
          <xm:sqref>O9:O73 O106:O107 O146:O147 O109:O116 O133:O137 O87:O104</xm:sqref>
        </x14:dataValidation>
        <x14:dataValidation type="list" allowBlank="1" showInputMessage="1" showErrorMessage="1">
          <x14:formula1>
            <xm:f>'C:\Users\norela.briceno\Documents\Plan de acción\[Plan Accion ADRES Vigencia 2018 30-01-18.xlsx]TAB. REF. PA'!#REF!</xm:f>
          </x14:formula1>
          <xm:sqref>N9:N73 N106:N107 N146:N147 N109:N116 N133:N137 N87:N104</xm:sqref>
        </x14:dataValidation>
        <x14:dataValidation type="list" allowBlank="1" showInputMessage="1" showErrorMessage="1">
          <x14:formula1>
            <xm:f>'C:\Users\norela.briceno\Documents\Plan de acción\[Plan Accion ADRES Vigencia 2018 30-01-18.xlsx]TAB. REF. PA'!#REF!</xm:f>
          </x14:formula1>
          <xm:sqref>M9:M73 M106:M107 M146:M147 M109:M116 M133:M137 M87:M104</xm:sqref>
        </x14:dataValidation>
        <x14:dataValidation type="list" allowBlank="1" showInputMessage="1" showErrorMessage="1">
          <x14:formula1>
            <xm:f>'C:\Users\norela.briceno\Documents\Plan de acción\[Plan Accion ADRES Vigencia 2018 30-01-18.xlsx]TAB. REF. PA'!#REF!</xm:f>
          </x14:formula1>
          <xm:sqref>R9:R73 R106:R107 R109:R116 R133:R137 R87:R104</xm:sqref>
        </x14:dataValidation>
        <x14:dataValidation type="list" allowBlank="1" showInputMessage="1" showErrorMessage="1">
          <x14:formula1>
            <xm:f>'C:\Users\norela.briceno\Documents\Plan de acción\[Plan Accion ADRES Vigencia 2018 30-01-18.xlsx]TAB. REF. PA'!#REF!</xm:f>
          </x14:formula1>
          <xm:sqref>X9:X73 X104 X101:X102 X109:X116 X133:X137 X87:X99</xm:sqref>
        </x14:dataValidation>
        <x14:dataValidation type="list" allowBlank="1" showInputMessage="1" showErrorMessage="1">
          <x14:formula1>
            <xm:f>'C:\Users\norela.briceno\Documents\Plan de acción\[Plan Accion ADRES Vigencia 2018 30-01-18.xlsx]TAB. REF. PA'!#REF!</xm:f>
          </x14:formula1>
          <xm:sqref>S63:S73</xm:sqref>
        </x14:dataValidation>
        <x14:dataValidation type="list" allowBlank="1" showInputMessage="1" showErrorMessage="1">
          <x14:formula1>
            <xm:f>'C:\Users\norela.briceno\Documents\Plan de acción\[Plan Accion ADRES Vigencia 2018 30-01-18.xlsx]TAB. REF. PA'!#REF!</xm:f>
          </x14:formula1>
          <xm:sqref>S104 S45:S62 S9:S43 S109:S116 S133:S137 S87:S99</xm:sqref>
        </x14:dataValidation>
        <x14:dataValidation type="list" allowBlank="1" showInputMessage="1" showErrorMessage="1">
          <x14:formula1>
            <xm:f>'C:\Users\Ricardo.triana\AppData\Local\Microsoft\Windows\INetCache\Content.Outlook\NSJG1V0A\[Plan Accion ADRES DOP 24-01-2018.xlsx]TAB. REF. PA'!#REF!</xm:f>
          </x14:formula1>
          <xm:sqref>D63:D73</xm:sqref>
        </x14:dataValidation>
        <x14:dataValidation type="list" allowBlank="1" showInputMessage="1" showErrorMessage="1">
          <x14:formula1>
            <xm:f>'D:\Users\ricardo.triana\Documents\ADRES\Plan de Accion\Plan Accion 2018\[Plan Accion ADRES Vigencia 2018 DLG 17-01-18.xlsx]TAB. REF. PA'!#REF!</xm:f>
          </x14:formula1>
          <xm:sqref>D44:D62</xm:sqref>
        </x14:dataValidation>
        <x14:dataValidation type="list" allowBlank="1" showInputMessage="1" showErrorMessage="1">
          <x14:formula1>
            <xm:f>'D:\Users\ricardo.triana\Documents\ADRES\Plan de Accion\Plan Accion 2018\[Plan Accion ADRES Vigencia 2018 DGRFS 17-01-18.xlsx]TAB. REF. PA'!#REF!</xm:f>
          </x14:formula1>
          <xm:sqref>D11:D43</xm:sqref>
        </x14:dataValidation>
        <x14:dataValidation type="list" allowBlank="1" showInputMessage="1" showErrorMessage="1">
          <x14:formula1>
            <xm:f>'C:\Users\norela.briceno\Documents\Plan de acción\[Plan Accion ADRES Vigencia 2018 30-01-18.xlsx]TAB. REF. PA'!#REF!</xm:f>
          </x14:formula1>
          <xm:sqref>D9:D10 D109:D116 D133:D137 D87:D104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46"/>
  <sheetViews>
    <sheetView workbookViewId="0">
      <selection activeCell="C10" sqref="C10"/>
    </sheetView>
  </sheetViews>
  <sheetFormatPr baseColWidth="10" defaultRowHeight="15" x14ac:dyDescent="0.25"/>
  <cols>
    <col min="1" max="1" width="33.85546875" customWidth="1"/>
    <col min="2" max="2" width="26.140625" customWidth="1"/>
    <col min="3" max="3" width="25.42578125" customWidth="1"/>
  </cols>
  <sheetData>
    <row r="4" spans="1:3" x14ac:dyDescent="0.25">
      <c r="A4" t="s">
        <v>722</v>
      </c>
      <c r="C4" t="s">
        <v>733</v>
      </c>
    </row>
    <row r="5" spans="1:3" x14ac:dyDescent="0.25">
      <c r="A5" t="s">
        <v>29</v>
      </c>
      <c r="B5" t="s">
        <v>256</v>
      </c>
      <c r="C5" s="20">
        <v>36862182273.800003</v>
      </c>
    </row>
    <row r="7" spans="1:3" x14ac:dyDescent="0.25">
      <c r="A7" t="s">
        <v>724</v>
      </c>
      <c r="C7">
        <v>36862182273.800003</v>
      </c>
    </row>
    <row r="8" spans="1:3" x14ac:dyDescent="0.25">
      <c r="A8" t="s">
        <v>4</v>
      </c>
    </row>
    <row r="9" spans="1:3" x14ac:dyDescent="0.25">
      <c r="A9" t="s">
        <v>256</v>
      </c>
      <c r="C9">
        <v>0</v>
      </c>
    </row>
    <row r="10" spans="1:3" x14ac:dyDescent="0.25">
      <c r="A10" t="s">
        <v>145</v>
      </c>
      <c r="C10">
        <v>42728440868380</v>
      </c>
    </row>
    <row r="11" spans="1:3" x14ac:dyDescent="0.25">
      <c r="A11" t="s">
        <v>153</v>
      </c>
      <c r="C11">
        <v>0</v>
      </c>
    </row>
    <row r="12" spans="1:3" x14ac:dyDescent="0.25">
      <c r="A12" t="s">
        <v>725</v>
      </c>
      <c r="C12">
        <v>42728440868380</v>
      </c>
    </row>
    <row r="13" spans="1:3" x14ac:dyDescent="0.25">
      <c r="A13" t="s">
        <v>6</v>
      </c>
    </row>
    <row r="14" spans="1:3" x14ac:dyDescent="0.25">
      <c r="A14" t="s">
        <v>147</v>
      </c>
      <c r="C14">
        <v>9419435140</v>
      </c>
    </row>
    <row r="15" spans="1:3" x14ac:dyDescent="0.25">
      <c r="A15" t="s">
        <v>256</v>
      </c>
      <c r="C15">
        <v>0</v>
      </c>
    </row>
    <row r="16" spans="1:3" x14ac:dyDescent="0.25">
      <c r="A16" t="s">
        <v>153</v>
      </c>
      <c r="C16">
        <v>0</v>
      </c>
    </row>
    <row r="17" spans="1:3" x14ac:dyDescent="0.25">
      <c r="A17" t="s">
        <v>726</v>
      </c>
      <c r="C17">
        <v>9419435140</v>
      </c>
    </row>
    <row r="18" spans="1:3" x14ac:dyDescent="0.25">
      <c r="A18" t="s">
        <v>26</v>
      </c>
    </row>
    <row r="19" spans="1:3" x14ac:dyDescent="0.25">
      <c r="A19" t="s">
        <v>256</v>
      </c>
      <c r="C19">
        <v>0</v>
      </c>
    </row>
    <row r="20" spans="1:3" x14ac:dyDescent="0.25">
      <c r="A20" t="s">
        <v>144</v>
      </c>
      <c r="C20">
        <v>368855224</v>
      </c>
    </row>
    <row r="21" spans="1:3" x14ac:dyDescent="0.25">
      <c r="A21" t="s">
        <v>153</v>
      </c>
      <c r="C21">
        <v>0</v>
      </c>
    </row>
    <row r="22" spans="1:3" x14ac:dyDescent="0.25">
      <c r="A22" t="s">
        <v>727</v>
      </c>
      <c r="C22">
        <v>368855224</v>
      </c>
    </row>
    <row r="23" spans="1:3" x14ac:dyDescent="0.25">
      <c r="A23" t="s">
        <v>28</v>
      </c>
    </row>
    <row r="24" spans="1:3" x14ac:dyDescent="0.25">
      <c r="A24" t="s">
        <v>256</v>
      </c>
      <c r="C24">
        <v>0</v>
      </c>
    </row>
    <row r="25" spans="1:3" x14ac:dyDescent="0.25">
      <c r="A25" t="s">
        <v>144</v>
      </c>
      <c r="C25">
        <v>30930987540</v>
      </c>
    </row>
    <row r="26" spans="1:3" x14ac:dyDescent="0.25">
      <c r="A26" t="s">
        <v>146</v>
      </c>
      <c r="C26">
        <v>195840000</v>
      </c>
    </row>
    <row r="27" spans="1:3" x14ac:dyDescent="0.25">
      <c r="A27" t="s">
        <v>153</v>
      </c>
      <c r="C27">
        <v>0</v>
      </c>
    </row>
    <row r="28" spans="1:3" x14ac:dyDescent="0.25">
      <c r="A28" t="s">
        <v>728</v>
      </c>
      <c r="C28">
        <v>31126827540</v>
      </c>
    </row>
    <row r="29" spans="1:3" x14ac:dyDescent="0.25">
      <c r="A29" t="s">
        <v>3</v>
      </c>
    </row>
    <row r="30" spans="1:3" x14ac:dyDescent="0.25">
      <c r="A30" t="s">
        <v>256</v>
      </c>
      <c r="C30">
        <v>500000000</v>
      </c>
    </row>
    <row r="31" spans="1:3" x14ac:dyDescent="0.25">
      <c r="A31" t="s">
        <v>153</v>
      </c>
      <c r="C31">
        <v>0</v>
      </c>
    </row>
    <row r="32" spans="1:3" x14ac:dyDescent="0.25">
      <c r="A32" t="s">
        <v>729</v>
      </c>
      <c r="C32">
        <v>500000000</v>
      </c>
    </row>
    <row r="33" spans="1:3" x14ac:dyDescent="0.25">
      <c r="A33" t="s">
        <v>30</v>
      </c>
    </row>
    <row r="34" spans="1:3" x14ac:dyDescent="0.25">
      <c r="A34" t="s">
        <v>256</v>
      </c>
      <c r="C34">
        <v>61642068</v>
      </c>
    </row>
    <row r="35" spans="1:3" x14ac:dyDescent="0.25">
      <c r="A35" t="s">
        <v>153</v>
      </c>
      <c r="C35">
        <v>0</v>
      </c>
    </row>
    <row r="36" spans="1:3" x14ac:dyDescent="0.25">
      <c r="A36" t="s">
        <v>730</v>
      </c>
      <c r="C36">
        <v>61642068</v>
      </c>
    </row>
    <row r="37" spans="1:3" x14ac:dyDescent="0.25">
      <c r="A37" t="s">
        <v>349</v>
      </c>
    </row>
    <row r="38" spans="1:3" x14ac:dyDescent="0.25">
      <c r="A38" t="s">
        <v>256</v>
      </c>
      <c r="C38">
        <v>0</v>
      </c>
    </row>
    <row r="39" spans="1:3" x14ac:dyDescent="0.25">
      <c r="A39" t="s">
        <v>146</v>
      </c>
      <c r="C39">
        <v>2205388943</v>
      </c>
    </row>
    <row r="40" spans="1:3" x14ac:dyDescent="0.25">
      <c r="A40" t="s">
        <v>153</v>
      </c>
      <c r="C40">
        <v>0</v>
      </c>
    </row>
    <row r="41" spans="1:3" x14ac:dyDescent="0.25">
      <c r="A41" t="s">
        <v>731</v>
      </c>
      <c r="C41">
        <v>2205388943</v>
      </c>
    </row>
    <row r="42" spans="1:3" x14ac:dyDescent="0.25">
      <c r="A42" t="s">
        <v>5</v>
      </c>
    </row>
    <row r="43" spans="1:3" x14ac:dyDescent="0.25">
      <c r="A43" t="s">
        <v>256</v>
      </c>
      <c r="C43">
        <v>200000000</v>
      </c>
    </row>
    <row r="44" spans="1:3" x14ac:dyDescent="0.25">
      <c r="A44" t="s">
        <v>153</v>
      </c>
      <c r="C44">
        <v>0</v>
      </c>
    </row>
    <row r="45" spans="1:3" x14ac:dyDescent="0.25">
      <c r="A45" t="s">
        <v>732</v>
      </c>
      <c r="C45">
        <v>200000000</v>
      </c>
    </row>
    <row r="46" spans="1:3" x14ac:dyDescent="0.25">
      <c r="A46" t="s">
        <v>723</v>
      </c>
      <c r="C46">
        <v>42809185199568.797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CC171"/>
  <sheetViews>
    <sheetView showGridLines="0" tabSelected="1" zoomScale="90" zoomScaleNormal="90" workbookViewId="0">
      <pane ySplit="7" topLeftCell="A8" activePane="bottomLeft" state="frozen"/>
      <selection pane="bottomLeft" activeCell="A8" sqref="A8"/>
    </sheetView>
  </sheetViews>
  <sheetFormatPr baseColWidth="10" defaultRowHeight="15" x14ac:dyDescent="0.25"/>
  <cols>
    <col min="1" max="1" width="12.85546875" customWidth="1"/>
    <col min="2" max="2" width="25.28515625" customWidth="1"/>
    <col min="3" max="3" width="16.5703125" customWidth="1"/>
    <col min="4" max="4" width="40.5703125" customWidth="1"/>
    <col min="5" max="5" width="12.85546875" customWidth="1"/>
    <col min="6" max="6" width="35.7109375" customWidth="1"/>
    <col min="7" max="7" width="12.85546875" style="14" customWidth="1"/>
    <col min="8" max="8" width="12" customWidth="1"/>
    <col min="9" max="9" width="14.5703125" bestFit="1" customWidth="1"/>
    <col min="10" max="10" width="35.7109375" customWidth="1"/>
    <col min="11" max="11" width="26.85546875" customWidth="1"/>
    <col min="12" max="12" width="17.28515625" customWidth="1"/>
    <col min="13" max="13" width="21.42578125" customWidth="1"/>
    <col min="14" max="14" width="23.7109375" customWidth="1"/>
    <col min="15" max="15" width="25.7109375" customWidth="1"/>
    <col min="16" max="16" width="35" customWidth="1"/>
    <col min="17" max="17" width="19.140625" customWidth="1"/>
    <col min="18" max="18" width="31" customWidth="1"/>
    <col min="19" max="19" width="28.28515625" customWidth="1"/>
    <col min="20" max="20" width="12.140625" customWidth="1"/>
    <col min="21" max="21" width="35.7109375" customWidth="1"/>
    <col min="22" max="22" width="27.7109375" customWidth="1"/>
    <col min="23" max="23" width="21.140625" customWidth="1"/>
    <col min="24" max="24" width="13.85546875" style="146" customWidth="1"/>
    <col min="25" max="25" width="35.7109375" style="146" customWidth="1"/>
    <col min="26" max="26" width="27.7109375" style="146" customWidth="1"/>
    <col min="27" max="27" width="13.5703125" style="146" customWidth="1"/>
    <col min="28" max="28" width="30.85546875" style="146" customWidth="1"/>
    <col min="29" max="29" width="11.42578125" style="146" customWidth="1"/>
    <col min="30" max="30" width="15.7109375" style="146" customWidth="1"/>
    <col min="31" max="31" width="11.42578125" style="146" customWidth="1"/>
    <col min="32" max="32" width="15.7109375" style="146" customWidth="1"/>
    <col min="33" max="33" width="50.7109375" style="146" customWidth="1"/>
    <col min="34" max="34" width="13.7109375" style="146" customWidth="1"/>
    <col min="35" max="35" width="35.7109375" style="146" customWidth="1"/>
    <col min="36" max="36" width="27.7109375" style="146" customWidth="1"/>
    <col min="37" max="37" width="17.140625" style="146" customWidth="1"/>
    <col min="38" max="38" width="27.7109375" style="146" customWidth="1"/>
    <col min="39" max="39" width="13.7109375" style="146" customWidth="1"/>
    <col min="40" max="40" width="15.7109375" style="146" customWidth="1"/>
    <col min="41" max="41" width="13.7109375" style="146" customWidth="1"/>
    <col min="42" max="42" width="15.7109375" style="146" customWidth="1"/>
    <col min="43" max="43" width="50.7109375" style="146" customWidth="1"/>
    <col min="44" max="44" width="13.7109375" style="146" customWidth="1"/>
    <col min="45" max="45" width="35.7109375" style="146" customWidth="1"/>
    <col min="46" max="46" width="27.7109375" style="146" customWidth="1"/>
    <col min="47" max="47" width="18" style="146" customWidth="1"/>
    <col min="48" max="48" width="27.7109375" style="146" customWidth="1"/>
    <col min="49" max="49" width="13.7109375" style="146" customWidth="1"/>
    <col min="50" max="50" width="15.7109375" style="146" customWidth="1"/>
    <col min="51" max="51" width="13.7109375" style="146" customWidth="1"/>
    <col min="52" max="52" width="15.7109375" style="146" customWidth="1"/>
    <col min="53" max="53" width="50.7109375" style="146" customWidth="1"/>
    <col min="54" max="54" width="13.7109375" style="146" customWidth="1"/>
    <col min="55" max="55" width="35.7109375" style="146" customWidth="1"/>
    <col min="56" max="56" width="27.7109375" style="146" customWidth="1"/>
    <col min="57" max="57" width="13.7109375" style="146" customWidth="1"/>
    <col min="58" max="58" width="27.7109375" style="146" customWidth="1"/>
    <col min="59" max="59" width="13.7109375" style="146" customWidth="1"/>
    <col min="60" max="60" width="15.7109375" style="146" customWidth="1"/>
    <col min="61" max="61" width="13.7109375" style="146" customWidth="1"/>
    <col min="62" max="62" width="15.7109375" style="146" customWidth="1"/>
    <col min="63" max="63" width="50.7109375" style="146" customWidth="1"/>
    <col min="64" max="64" width="13.7109375" style="146" customWidth="1"/>
    <col min="65" max="65" width="15.7109375" style="146" customWidth="1"/>
    <col min="66" max="66" width="13.7109375" style="146" customWidth="1"/>
    <col min="67" max="67" width="15.7109375" style="146" customWidth="1"/>
    <col min="68" max="68" width="13.7109375" style="146" customWidth="1"/>
    <col min="69" max="69" width="15.7109375" style="146" customWidth="1"/>
    <col min="70" max="70" width="13.7109375" style="146" customWidth="1"/>
    <col min="71" max="71" width="15.7109375" style="146" customWidth="1"/>
    <col min="72" max="72" width="15.28515625" style="146" customWidth="1"/>
    <col min="73" max="73" width="35.7109375" style="146" customWidth="1"/>
    <col min="74" max="74" width="28" style="146" customWidth="1"/>
    <col min="75" max="75" width="17.85546875" style="146" customWidth="1"/>
    <col min="76" max="76" width="29.140625" style="146" customWidth="1"/>
    <col min="77" max="77" width="14.140625" style="146" customWidth="1"/>
    <col min="78" max="79" width="16.140625" style="146" customWidth="1"/>
    <col min="80" max="80" width="15" style="146" customWidth="1"/>
    <col min="81" max="81" width="50.7109375" style="146" customWidth="1"/>
    <col min="82" max="16384" width="11.42578125" style="146"/>
  </cols>
  <sheetData>
    <row r="1" spans="1:81" ht="22.5" customHeight="1" x14ac:dyDescent="0.25">
      <c r="A1" s="705"/>
      <c r="B1" s="706"/>
      <c r="C1" s="711" t="s">
        <v>966</v>
      </c>
      <c r="D1" s="712"/>
      <c r="E1" s="712"/>
      <c r="F1" s="712" t="s">
        <v>967</v>
      </c>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712"/>
      <c r="BK1" s="712"/>
      <c r="BL1" s="712"/>
      <c r="BM1" s="712"/>
      <c r="BN1" s="713"/>
      <c r="BO1" s="714"/>
      <c r="BP1" s="715"/>
      <c r="BQ1" s="715"/>
      <c r="BR1" s="715"/>
      <c r="BS1" s="716"/>
    </row>
    <row r="2" spans="1:81" ht="24" customHeight="1" x14ac:dyDescent="0.25">
      <c r="A2" s="707"/>
      <c r="B2" s="708"/>
      <c r="C2" s="723" t="s">
        <v>968</v>
      </c>
      <c r="D2" s="724"/>
      <c r="E2" s="724"/>
      <c r="F2" s="725" t="s">
        <v>969</v>
      </c>
      <c r="G2" s="724" t="s">
        <v>970</v>
      </c>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724"/>
      <c r="BK2" s="724"/>
      <c r="BL2" s="724"/>
      <c r="BM2" s="724" t="s">
        <v>971</v>
      </c>
      <c r="BN2" s="728">
        <v>1</v>
      </c>
      <c r="BO2" s="717"/>
      <c r="BP2" s="718"/>
      <c r="BQ2" s="718"/>
      <c r="BR2" s="718"/>
      <c r="BS2" s="719"/>
    </row>
    <row r="3" spans="1:81" ht="25.5" customHeight="1" thickBot="1" x14ac:dyDescent="0.3">
      <c r="A3" s="709"/>
      <c r="B3" s="710"/>
      <c r="C3" s="730" t="s">
        <v>857</v>
      </c>
      <c r="D3" s="727"/>
      <c r="E3" s="727"/>
      <c r="F3" s="726"/>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9"/>
      <c r="BO3" s="720"/>
      <c r="BP3" s="721"/>
      <c r="BQ3" s="721"/>
      <c r="BR3" s="721"/>
      <c r="BS3" s="722"/>
    </row>
    <row r="4" spans="1:81" ht="15.75" x14ac:dyDescent="0.25">
      <c r="D4" s="472"/>
      <c r="E4" s="472"/>
      <c r="F4" s="472"/>
      <c r="G4" s="472"/>
      <c r="H4" s="472"/>
      <c r="I4" s="472"/>
      <c r="J4" s="472"/>
      <c r="K4" s="472"/>
      <c r="L4" s="472"/>
      <c r="M4" s="472"/>
    </row>
    <row r="5" spans="1:81" ht="16.5" thickBot="1" x14ac:dyDescent="0.3">
      <c r="A5" s="493" t="s">
        <v>766</v>
      </c>
      <c r="D5" s="731"/>
      <c r="E5" s="731"/>
      <c r="F5" s="731"/>
      <c r="G5" s="731"/>
      <c r="H5" s="731"/>
      <c r="I5" s="731"/>
      <c r="J5" s="731"/>
      <c r="K5" s="731"/>
      <c r="L5" s="731"/>
      <c r="M5" s="731"/>
      <c r="O5" s="48"/>
    </row>
    <row r="6" spans="1:81" ht="15.75" thickBot="1" x14ac:dyDescent="0.3">
      <c r="A6" s="173"/>
      <c r="B6" s="173"/>
      <c r="C6" s="173"/>
      <c r="D6" s="173"/>
      <c r="E6" s="173"/>
      <c r="F6" s="173"/>
      <c r="G6" s="263"/>
      <c r="H6" s="173"/>
      <c r="I6" s="173"/>
      <c r="J6" s="173"/>
      <c r="K6" s="173"/>
      <c r="L6" s="173"/>
      <c r="M6" s="173"/>
      <c r="N6" s="264"/>
      <c r="O6" s="173"/>
      <c r="P6" s="173"/>
      <c r="Q6" s="173"/>
      <c r="R6" s="173"/>
      <c r="S6" s="173"/>
      <c r="T6" s="173"/>
      <c r="U6" s="173"/>
      <c r="V6" s="173"/>
      <c r="W6" s="173"/>
      <c r="X6" s="699" t="s">
        <v>771</v>
      </c>
      <c r="Y6" s="700"/>
      <c r="Z6" s="700"/>
      <c r="AA6" s="700"/>
      <c r="AB6" s="700"/>
      <c r="AC6" s="700"/>
      <c r="AD6" s="700"/>
      <c r="AE6" s="700"/>
      <c r="AF6" s="700"/>
      <c r="AG6" s="701"/>
      <c r="AH6" s="696" t="s">
        <v>773</v>
      </c>
      <c r="AI6" s="697"/>
      <c r="AJ6" s="697"/>
      <c r="AK6" s="697"/>
      <c r="AL6" s="697"/>
      <c r="AM6" s="697"/>
      <c r="AN6" s="697"/>
      <c r="AO6" s="697"/>
      <c r="AP6" s="697"/>
      <c r="AQ6" s="698"/>
      <c r="AR6" s="699" t="s">
        <v>772</v>
      </c>
      <c r="AS6" s="700"/>
      <c r="AT6" s="700"/>
      <c r="AU6" s="700"/>
      <c r="AV6" s="700"/>
      <c r="AW6" s="700"/>
      <c r="AX6" s="700"/>
      <c r="AY6" s="700"/>
      <c r="AZ6" s="700"/>
      <c r="BA6" s="701"/>
      <c r="BB6" s="696" t="s">
        <v>774</v>
      </c>
      <c r="BC6" s="697"/>
      <c r="BD6" s="697"/>
      <c r="BE6" s="697"/>
      <c r="BF6" s="697"/>
      <c r="BG6" s="697"/>
      <c r="BH6" s="697"/>
      <c r="BI6" s="697"/>
      <c r="BJ6" s="697"/>
      <c r="BK6" s="698"/>
      <c r="BL6" s="702" t="s">
        <v>890</v>
      </c>
      <c r="BM6" s="703"/>
      <c r="BN6" s="703"/>
      <c r="BO6" s="703"/>
      <c r="BP6" s="703"/>
      <c r="BQ6" s="703"/>
      <c r="BR6" s="703"/>
      <c r="BS6" s="704"/>
      <c r="BT6" s="699" t="s">
        <v>989</v>
      </c>
      <c r="BU6" s="700"/>
      <c r="BV6" s="700"/>
      <c r="BW6" s="700"/>
      <c r="BX6" s="700"/>
      <c r="BY6" s="700"/>
      <c r="BZ6" s="700"/>
      <c r="CA6" s="700"/>
      <c r="CB6" s="700"/>
      <c r="CC6" s="701"/>
    </row>
    <row r="7" spans="1:81" ht="34.5" thickBot="1" x14ac:dyDescent="0.3">
      <c r="A7" s="494" t="s">
        <v>80</v>
      </c>
      <c r="B7" s="495" t="s">
        <v>81</v>
      </c>
      <c r="C7" s="495" t="s">
        <v>142</v>
      </c>
      <c r="D7" s="495" t="s">
        <v>141</v>
      </c>
      <c r="E7" s="495" t="s">
        <v>82</v>
      </c>
      <c r="F7" s="495" t="s">
        <v>119</v>
      </c>
      <c r="G7" s="495" t="s">
        <v>86</v>
      </c>
      <c r="H7" s="495" t="s">
        <v>16</v>
      </c>
      <c r="I7" s="495" t="s">
        <v>83</v>
      </c>
      <c r="J7" s="495" t="s">
        <v>120</v>
      </c>
      <c r="K7" s="495" t="s">
        <v>569</v>
      </c>
      <c r="L7" s="495" t="s">
        <v>12</v>
      </c>
      <c r="M7" s="495" t="s">
        <v>88</v>
      </c>
      <c r="N7" s="495" t="s">
        <v>87</v>
      </c>
      <c r="O7" s="495" t="s">
        <v>90</v>
      </c>
      <c r="P7" s="495" t="s">
        <v>91</v>
      </c>
      <c r="Q7" s="495" t="s">
        <v>13</v>
      </c>
      <c r="R7" s="495" t="s">
        <v>0</v>
      </c>
      <c r="S7" s="495" t="s">
        <v>85</v>
      </c>
      <c r="T7" s="495" t="s">
        <v>16</v>
      </c>
      <c r="U7" s="496" t="s">
        <v>768</v>
      </c>
      <c r="V7" s="496" t="s">
        <v>569</v>
      </c>
      <c r="W7" s="497" t="s">
        <v>17</v>
      </c>
      <c r="X7" s="498" t="s">
        <v>16</v>
      </c>
      <c r="Y7" s="498" t="s">
        <v>120</v>
      </c>
      <c r="Z7" s="498" t="s">
        <v>569</v>
      </c>
      <c r="AA7" s="498" t="s">
        <v>16</v>
      </c>
      <c r="AB7" s="498" t="s">
        <v>569</v>
      </c>
      <c r="AC7" s="498" t="s">
        <v>15</v>
      </c>
      <c r="AD7" s="498" t="s">
        <v>20</v>
      </c>
      <c r="AE7" s="498" t="s">
        <v>15</v>
      </c>
      <c r="AF7" s="498" t="s">
        <v>20</v>
      </c>
      <c r="AG7" s="498" t="s">
        <v>770</v>
      </c>
      <c r="AH7" s="495" t="s">
        <v>16</v>
      </c>
      <c r="AI7" s="495" t="s">
        <v>120</v>
      </c>
      <c r="AJ7" s="495" t="s">
        <v>569</v>
      </c>
      <c r="AK7" s="495" t="s">
        <v>16</v>
      </c>
      <c r="AL7" s="495" t="s">
        <v>569</v>
      </c>
      <c r="AM7" s="495" t="s">
        <v>15</v>
      </c>
      <c r="AN7" s="495" t="s">
        <v>20</v>
      </c>
      <c r="AO7" s="495" t="s">
        <v>15</v>
      </c>
      <c r="AP7" s="495" t="s">
        <v>20</v>
      </c>
      <c r="AQ7" s="495" t="s">
        <v>770</v>
      </c>
      <c r="AR7" s="498" t="s">
        <v>16</v>
      </c>
      <c r="AS7" s="498" t="s">
        <v>120</v>
      </c>
      <c r="AT7" s="498" t="s">
        <v>569</v>
      </c>
      <c r="AU7" s="498" t="s">
        <v>16</v>
      </c>
      <c r="AV7" s="498" t="s">
        <v>569</v>
      </c>
      <c r="AW7" s="498" t="s">
        <v>15</v>
      </c>
      <c r="AX7" s="498" t="s">
        <v>20</v>
      </c>
      <c r="AY7" s="498" t="s">
        <v>15</v>
      </c>
      <c r="AZ7" s="498" t="s">
        <v>20</v>
      </c>
      <c r="BA7" s="498" t="s">
        <v>770</v>
      </c>
      <c r="BB7" s="495" t="s">
        <v>16</v>
      </c>
      <c r="BC7" s="495" t="s">
        <v>120</v>
      </c>
      <c r="BD7" s="495" t="s">
        <v>569</v>
      </c>
      <c r="BE7" s="495" t="s">
        <v>16</v>
      </c>
      <c r="BF7" s="495" t="s">
        <v>569</v>
      </c>
      <c r="BG7" s="495" t="s">
        <v>15</v>
      </c>
      <c r="BH7" s="495" t="s">
        <v>20</v>
      </c>
      <c r="BI7" s="495" t="s">
        <v>15</v>
      </c>
      <c r="BJ7" s="495" t="s">
        <v>20</v>
      </c>
      <c r="BK7" s="495" t="s">
        <v>770</v>
      </c>
      <c r="BL7" s="499" t="s">
        <v>15</v>
      </c>
      <c r="BM7" s="499" t="s">
        <v>20</v>
      </c>
      <c r="BN7" s="499" t="s">
        <v>15</v>
      </c>
      <c r="BO7" s="499" t="s">
        <v>20</v>
      </c>
      <c r="BP7" s="499" t="s">
        <v>15</v>
      </c>
      <c r="BQ7" s="499" t="s">
        <v>20</v>
      </c>
      <c r="BR7" s="499" t="s">
        <v>15</v>
      </c>
      <c r="BS7" s="499" t="s">
        <v>20</v>
      </c>
      <c r="BT7" s="498" t="s">
        <v>16</v>
      </c>
      <c r="BU7" s="498" t="s">
        <v>120</v>
      </c>
      <c r="BV7" s="498" t="s">
        <v>569</v>
      </c>
      <c r="BW7" s="498" t="s">
        <v>16</v>
      </c>
      <c r="BX7" s="498" t="s">
        <v>569</v>
      </c>
      <c r="BY7" s="498" t="s">
        <v>15</v>
      </c>
      <c r="BZ7" s="498" t="s">
        <v>20</v>
      </c>
      <c r="CA7" s="498" t="s">
        <v>15</v>
      </c>
      <c r="CB7" s="498" t="s">
        <v>20</v>
      </c>
      <c r="CC7" s="498" t="s">
        <v>770</v>
      </c>
    </row>
    <row r="8" spans="1:81" s="457" customFormat="1" ht="51" x14ac:dyDescent="0.25">
      <c r="A8" s="535">
        <v>11200</v>
      </c>
      <c r="B8" s="536" t="s">
        <v>3</v>
      </c>
      <c r="C8" s="537" t="s">
        <v>291</v>
      </c>
      <c r="D8" s="536" t="s">
        <v>153</v>
      </c>
      <c r="E8" s="537" t="s">
        <v>823</v>
      </c>
      <c r="F8" s="536" t="s">
        <v>133</v>
      </c>
      <c r="G8" s="538" t="s">
        <v>124</v>
      </c>
      <c r="H8" s="537">
        <v>4</v>
      </c>
      <c r="I8" s="537" t="s">
        <v>292</v>
      </c>
      <c r="J8" s="536" t="s">
        <v>24</v>
      </c>
      <c r="K8" s="539">
        <v>0</v>
      </c>
      <c r="L8" s="540">
        <v>1</v>
      </c>
      <c r="M8" s="536" t="s">
        <v>51</v>
      </c>
      <c r="N8" s="536" t="s">
        <v>68</v>
      </c>
      <c r="O8" s="536" t="s">
        <v>21</v>
      </c>
      <c r="P8" s="536" t="s">
        <v>36</v>
      </c>
      <c r="Q8" s="536" t="s">
        <v>75</v>
      </c>
      <c r="R8" s="536" t="s">
        <v>631</v>
      </c>
      <c r="S8" s="536" t="s">
        <v>98</v>
      </c>
      <c r="T8" s="537">
        <v>4</v>
      </c>
      <c r="U8" s="536" t="str">
        <f>+J8</f>
        <v>Reportar el cumplimiento del Plan de Acción de la Dependencia</v>
      </c>
      <c r="V8" s="541">
        <f>+K8</f>
        <v>0</v>
      </c>
      <c r="W8" s="542" t="s">
        <v>117</v>
      </c>
      <c r="X8" s="543">
        <v>1</v>
      </c>
      <c r="Y8" s="536" t="s">
        <v>24</v>
      </c>
      <c r="Z8" s="539">
        <v>0</v>
      </c>
      <c r="AA8" s="545">
        <v>1</v>
      </c>
      <c r="AB8" s="604">
        <v>0</v>
      </c>
      <c r="AC8" s="544">
        <f>+(AA8/X8)</f>
        <v>1</v>
      </c>
      <c r="AD8" s="544" t="e">
        <f>+(AB8/Z8)</f>
        <v>#DIV/0!</v>
      </c>
      <c r="AE8" s="544">
        <f>+(AA8/T8)</f>
        <v>0.25</v>
      </c>
      <c r="AF8" s="544" t="e">
        <f>+(AB8/V8)</f>
        <v>#DIV/0!</v>
      </c>
      <c r="AG8" s="544"/>
      <c r="AH8" s="543">
        <v>1</v>
      </c>
      <c r="AI8" s="536" t="s">
        <v>24</v>
      </c>
      <c r="AJ8" s="539">
        <v>0</v>
      </c>
      <c r="AK8" s="545"/>
      <c r="AL8" s="545"/>
      <c r="AM8" s="544">
        <f>+(AK8/AH8)</f>
        <v>0</v>
      </c>
      <c r="AN8" s="544" t="e">
        <f>+(AL8/AJ8)</f>
        <v>#DIV/0!</v>
      </c>
      <c r="AO8" s="544">
        <f>+(AK8+AA8)/T8</f>
        <v>0.25</v>
      </c>
      <c r="AP8" s="544" t="e">
        <f>+(AL8+AB8)/V8</f>
        <v>#DIV/0!</v>
      </c>
      <c r="AQ8" s="544"/>
      <c r="AR8" s="543">
        <v>1</v>
      </c>
      <c r="AS8" s="536" t="s">
        <v>24</v>
      </c>
      <c r="AT8" s="539">
        <v>0</v>
      </c>
      <c r="AU8" s="545"/>
      <c r="AV8" s="545"/>
      <c r="AW8" s="544">
        <f>+(AU8/AR8)</f>
        <v>0</v>
      </c>
      <c r="AX8" s="544" t="e">
        <f>+(AV8/AT8)</f>
        <v>#DIV/0!</v>
      </c>
      <c r="AY8" s="544">
        <f>+(AK8+AA8+AU8)/T8</f>
        <v>0.25</v>
      </c>
      <c r="AZ8" s="544" t="e">
        <f>+(AL8+AB8+AV8)/V8</f>
        <v>#DIV/0!</v>
      </c>
      <c r="BA8" s="544"/>
      <c r="BB8" s="543">
        <v>1</v>
      </c>
      <c r="BC8" s="536" t="s">
        <v>24</v>
      </c>
      <c r="BD8" s="539">
        <v>0</v>
      </c>
      <c r="BE8" s="545"/>
      <c r="BF8" s="545"/>
      <c r="BG8" s="544">
        <f>+(BE8/BB8)</f>
        <v>0</v>
      </c>
      <c r="BH8" s="544" t="e">
        <f>+(BF8/BD8)</f>
        <v>#DIV/0!</v>
      </c>
      <c r="BI8" s="544">
        <f>+(AK8+AA8+AU8+BE8)/T8</f>
        <v>0.25</v>
      </c>
      <c r="BJ8" s="544" t="e">
        <f>+(AL8+AB8+AV8+BF8)/V8</f>
        <v>#DIV/0!</v>
      </c>
      <c r="BK8" s="544"/>
      <c r="BL8" s="605">
        <f>IF(AND(X8=0,AA8=0),"No Prog ni Ejec",IF(X8=0,CONCATENATE("No Prog, Ejec=  ",AA8),AA8/X8))</f>
        <v>1</v>
      </c>
      <c r="BM8" s="605" t="str">
        <f>IF(AND(Z8=0,AB8=0),"No Prog ni Ejec",IF(Z8=0,CONCATENATE("No Prog, Ejec=  ",AB8),AB8/Z8))</f>
        <v>No Prog ni Ejec</v>
      </c>
      <c r="BN8" s="605">
        <f>IF(AND(AH8=0,AK8=0),"No Prog ni Ejec",IF(AH8=0,CONCATENATE("No Prog, Ejec=  ",AK8),AK8/AH8))</f>
        <v>0</v>
      </c>
      <c r="BO8" s="605" t="str">
        <f>IF(AND(AJ8=0,AL8=0),"No Prog ni Ejec",IF(AJ8=0,CONCATENATE("No Prog, Ejec=  ",AL8),AL8/AJ8))</f>
        <v>No Prog ni Ejec</v>
      </c>
      <c r="BP8" s="605">
        <f>IF(AND(AR8=0,AU8=0),"No Prog ni Ejec",IF(AR8=0,CONCATENATE("No Prog, Ejec=  ",AU8),AU8/AR8))</f>
        <v>0</v>
      </c>
      <c r="BQ8" s="605" t="str">
        <f>IF(AND(AT8=0,AV8=0),"No Prog ni Ejec",IF(AT8=0,CONCATENATE("No Prog, Ejec=  ",AV8),AV8/AT8))</f>
        <v>No Prog ni Ejec</v>
      </c>
      <c r="BR8" s="605">
        <f>IF(AND(BB8=0,BE8=0),"No Prog ni Ejec",IF(BB8=0,CONCATENATE("No Prog, Ejec=  ",BE8),BE8/BB8))</f>
        <v>0</v>
      </c>
      <c r="BS8" s="605" t="str">
        <f>IF(AND(BD8=0,BF8=0),"No Prog ni Ejec",IF(BD8=0,CONCATENATE("No Prog, Ejec=  ",BF8),BF8/BD8))</f>
        <v>No Prog ni Ejec</v>
      </c>
      <c r="BT8" s="546">
        <f>+(X8+AH8)</f>
        <v>2</v>
      </c>
      <c r="BU8" s="514" t="str">
        <f>+U8</f>
        <v>Reportar el cumplimiento del Plan de Acción de la Dependencia</v>
      </c>
      <c r="BV8" s="527">
        <f>+(Z8+AJ8+(AT8/3))</f>
        <v>0</v>
      </c>
      <c r="BW8" s="524"/>
      <c r="BX8" s="524"/>
      <c r="BY8" s="524"/>
      <c r="BZ8" s="524"/>
      <c r="CA8" s="524"/>
      <c r="CB8" s="524"/>
      <c r="CC8" s="524"/>
    </row>
    <row r="9" spans="1:81" s="457" customFormat="1" ht="89.25" x14ac:dyDescent="0.25">
      <c r="A9" s="513">
        <v>11200</v>
      </c>
      <c r="B9" s="514" t="s">
        <v>3</v>
      </c>
      <c r="C9" s="515" t="s">
        <v>152</v>
      </c>
      <c r="D9" s="514" t="s">
        <v>256</v>
      </c>
      <c r="E9" s="659" t="s">
        <v>154</v>
      </c>
      <c r="F9" s="657" t="s">
        <v>149</v>
      </c>
      <c r="G9" s="516" t="s">
        <v>124</v>
      </c>
      <c r="H9" s="547">
        <v>28</v>
      </c>
      <c r="I9" s="659" t="s">
        <v>155</v>
      </c>
      <c r="J9" s="657" t="s">
        <v>148</v>
      </c>
      <c r="K9" s="669">
        <v>500000000</v>
      </c>
      <c r="L9" s="690">
        <v>1</v>
      </c>
      <c r="M9" s="657" t="s">
        <v>48</v>
      </c>
      <c r="N9" s="657" t="s">
        <v>62</v>
      </c>
      <c r="O9" s="657" t="s">
        <v>37</v>
      </c>
      <c r="P9" s="657" t="s">
        <v>40</v>
      </c>
      <c r="Q9" s="657" t="s">
        <v>227</v>
      </c>
      <c r="R9" s="514" t="s">
        <v>885</v>
      </c>
      <c r="S9" s="514" t="s">
        <v>99</v>
      </c>
      <c r="T9" s="548">
        <v>28</v>
      </c>
      <c r="U9" s="688" t="str">
        <f>+J9</f>
        <v>Diseño y ejecución de estrategias de campaña Marketing para la ADRES.</v>
      </c>
      <c r="V9" s="685">
        <f>+K9</f>
        <v>500000000</v>
      </c>
      <c r="W9" s="659" t="s">
        <v>114</v>
      </c>
      <c r="X9" s="549">
        <v>7</v>
      </c>
      <c r="Y9" s="657" t="s">
        <v>148</v>
      </c>
      <c r="Z9" s="669">
        <v>150000000</v>
      </c>
      <c r="AA9" s="549">
        <f>58/3</f>
        <v>19.333333333333332</v>
      </c>
      <c r="AB9" s="669">
        <v>0</v>
      </c>
      <c r="AC9" s="523">
        <f>+(AA9/X9)</f>
        <v>2.7619047619047619</v>
      </c>
      <c r="AD9" s="678">
        <f>+(AB9/Z9)</f>
        <v>0</v>
      </c>
      <c r="AE9" s="523">
        <f>+(AA9/T9)</f>
        <v>0.69047619047619047</v>
      </c>
      <c r="AF9" s="678">
        <f t="shared" ref="AF9:AF75" si="0">+(AB9/V9)</f>
        <v>0</v>
      </c>
      <c r="AG9" s="550"/>
      <c r="AH9" s="549">
        <v>7</v>
      </c>
      <c r="AI9" s="657" t="s">
        <v>148</v>
      </c>
      <c r="AJ9" s="669">
        <v>150000000</v>
      </c>
      <c r="AK9" s="524"/>
      <c r="AL9" s="675"/>
      <c r="AM9" s="523">
        <f>+(AK9/AH9)</f>
        <v>0</v>
      </c>
      <c r="AN9" s="678">
        <f t="shared" ref="AN9:AN75" si="1">+(AL9/AJ9)</f>
        <v>0</v>
      </c>
      <c r="AO9" s="523">
        <f t="shared" ref="AO9:AO75" si="2">+(AK9+AA9)/T9</f>
        <v>0.69047619047619047</v>
      </c>
      <c r="AP9" s="678">
        <f t="shared" ref="AP9:AP75" si="3">+(AL9+AB9)/V9</f>
        <v>0</v>
      </c>
      <c r="AQ9" s="550"/>
      <c r="AR9" s="549">
        <v>7</v>
      </c>
      <c r="AS9" s="657" t="s">
        <v>148</v>
      </c>
      <c r="AT9" s="669">
        <v>150000000</v>
      </c>
      <c r="AU9" s="524"/>
      <c r="AV9" s="675"/>
      <c r="AW9" s="523">
        <f>+(AU9/AR9)</f>
        <v>0</v>
      </c>
      <c r="AX9" s="678">
        <f>+(AV9/AT9)</f>
        <v>0</v>
      </c>
      <c r="AY9" s="523">
        <f>+(AK9+AA9+AU9)/T9</f>
        <v>0.69047619047619047</v>
      </c>
      <c r="AZ9" s="678">
        <f>+(AL9+AB9+AV9)/V9</f>
        <v>0</v>
      </c>
      <c r="BA9" s="550"/>
      <c r="BB9" s="549">
        <v>7</v>
      </c>
      <c r="BC9" s="657" t="s">
        <v>148</v>
      </c>
      <c r="BD9" s="669">
        <v>50000000</v>
      </c>
      <c r="BE9" s="524"/>
      <c r="BF9" s="675"/>
      <c r="BG9" s="523">
        <f t="shared" ref="BG9:BG11" si="4">+(BE9/BB9)</f>
        <v>0</v>
      </c>
      <c r="BH9" s="678">
        <f t="shared" ref="BH9" si="5">+(BF9/BD9)</f>
        <v>0</v>
      </c>
      <c r="BI9" s="523">
        <f>+(AK9+AA9+AU9+BE9)/T9</f>
        <v>0.69047619047619047</v>
      </c>
      <c r="BJ9" s="678">
        <f>+(AL9+AB9+AV9+BF9)/V9</f>
        <v>0</v>
      </c>
      <c r="BK9" s="550"/>
      <c r="BL9" s="580">
        <f t="shared" ref="BL9:BL75" si="6">IF(AND(X9=0,AA9=0),"No Prog ni Ejec",IF(X9=0,CONCATENATE("No Prog, Ejec=  ",AA9),AA9/X9))</f>
        <v>2.7619047619047619</v>
      </c>
      <c r="BM9" s="666">
        <f t="shared" ref="BM9:BM75" si="7">IF(AND(Z9=0,AB9=0),"No Prog ni Ejec",IF(Z9=0,CONCATENATE("No Prog, Ejec=  ",AB9),AB9/Z9))</f>
        <v>0</v>
      </c>
      <c r="BN9" s="580">
        <f t="shared" ref="BN9:BN75" si="8">IF(AND(AH9=0,AK9=0),"No Prog ni Ejec",IF(AH9=0,CONCATENATE("No Prog, Ejec=  ",AK9),AK9/AH9))</f>
        <v>0</v>
      </c>
      <c r="BO9" s="666">
        <f t="shared" ref="BO9:BO75" si="9">IF(AND(AJ9=0,AL9=0),"No Prog ni Ejec",IF(AJ9=0,CONCATENATE("No Prog, Ejec=  ",AL9),AL9/AJ9))</f>
        <v>0</v>
      </c>
      <c r="BP9" s="580">
        <f>IF(AND(AR9=0,AU9=0),"No Prog ni Ejec",IF(AR9=0,CONCATENATE("No Prog, Ejec=  ",AU9),AU9/AR9))</f>
        <v>0</v>
      </c>
      <c r="BQ9" s="666">
        <f>IF(AND(AT9=0,AV9=0),"No Prog ni Ejec",IF(AT9=0,CONCATENATE("No Prog, Ejec=  ",AV9),AV9/AT9))</f>
        <v>0</v>
      </c>
      <c r="BR9" s="580">
        <f t="shared" ref="BR9:BR75" si="10">IF(AND(BB9=0,BE9=0),"No Prog ni Ejec",IF(BB9=0,CONCATENATE("No Prog, Ejec=  ",BE9),BE9/BB9))</f>
        <v>0</v>
      </c>
      <c r="BS9" s="666">
        <f t="shared" ref="BS9:BS75" si="11">IF(AND(BD9=0,BF9=0),"No Prog ni Ejec",IF(BD9=0,CONCATENATE("No Prog, Ejec=  ",BF9),BF9/BD9))</f>
        <v>0</v>
      </c>
      <c r="BT9" s="546">
        <f>+(X9+AH9+(AR9/3))</f>
        <v>16.333333333333332</v>
      </c>
      <c r="BU9" s="665" t="str">
        <f>+U9</f>
        <v>Diseño y ejecución de estrategias de campaña Marketing para la ADRES.</v>
      </c>
      <c r="BV9" s="527">
        <f>+(Z9+AJ9+(AT9/3))</f>
        <v>350000000</v>
      </c>
      <c r="BW9" s="524"/>
      <c r="BX9" s="524"/>
      <c r="BY9" s="524"/>
      <c r="BZ9" s="524"/>
      <c r="CA9" s="524"/>
      <c r="CB9" s="524"/>
      <c r="CC9" s="524"/>
    </row>
    <row r="10" spans="1:81" s="457" customFormat="1" ht="89.25" x14ac:dyDescent="0.25">
      <c r="A10" s="513">
        <v>11200</v>
      </c>
      <c r="B10" s="514" t="s">
        <v>3</v>
      </c>
      <c r="C10" s="515" t="s">
        <v>152</v>
      </c>
      <c r="D10" s="514" t="s">
        <v>256</v>
      </c>
      <c r="E10" s="693"/>
      <c r="F10" s="682"/>
      <c r="G10" s="516" t="s">
        <v>886</v>
      </c>
      <c r="H10" s="517">
        <v>1</v>
      </c>
      <c r="I10" s="693"/>
      <c r="J10" s="682"/>
      <c r="K10" s="681"/>
      <c r="L10" s="691"/>
      <c r="M10" s="682"/>
      <c r="N10" s="682"/>
      <c r="O10" s="682"/>
      <c r="P10" s="682"/>
      <c r="Q10" s="682"/>
      <c r="R10" s="514" t="s">
        <v>847</v>
      </c>
      <c r="S10" s="514" t="s">
        <v>99</v>
      </c>
      <c r="T10" s="517">
        <v>1</v>
      </c>
      <c r="U10" s="692"/>
      <c r="V10" s="686"/>
      <c r="W10" s="693"/>
      <c r="X10" s="517">
        <v>0.3</v>
      </c>
      <c r="Y10" s="682"/>
      <c r="Z10" s="681"/>
      <c r="AA10" s="517">
        <f>(738-444)/444</f>
        <v>0.66216216216216217</v>
      </c>
      <c r="AB10" s="681"/>
      <c r="AC10" s="523">
        <f>+(AA10/X10)</f>
        <v>2.2072072072072073</v>
      </c>
      <c r="AD10" s="679"/>
      <c r="AE10" s="523">
        <f>+(AA10/T10)</f>
        <v>0.66216216216216217</v>
      </c>
      <c r="AF10" s="679"/>
      <c r="AG10" s="551"/>
      <c r="AH10" s="517">
        <v>0.3</v>
      </c>
      <c r="AI10" s="682"/>
      <c r="AJ10" s="681"/>
      <c r="AK10" s="524"/>
      <c r="AL10" s="677"/>
      <c r="AM10" s="523">
        <f>+(AK10/AH10)</f>
        <v>0</v>
      </c>
      <c r="AN10" s="679"/>
      <c r="AO10" s="523">
        <f t="shared" si="2"/>
        <v>0.66216216216216217</v>
      </c>
      <c r="AP10" s="679"/>
      <c r="AQ10" s="551"/>
      <c r="AR10" s="517">
        <v>0.3</v>
      </c>
      <c r="AS10" s="682"/>
      <c r="AT10" s="681"/>
      <c r="AU10" s="524"/>
      <c r="AV10" s="677"/>
      <c r="AW10" s="523">
        <f>+(AU10/AR10)</f>
        <v>0</v>
      </c>
      <c r="AX10" s="679"/>
      <c r="AY10" s="523">
        <f>+(AK10+AA10+AU10)/T10</f>
        <v>0.66216216216216217</v>
      </c>
      <c r="AZ10" s="679"/>
      <c r="BA10" s="551"/>
      <c r="BB10" s="517">
        <v>0.3</v>
      </c>
      <c r="BC10" s="682"/>
      <c r="BD10" s="681"/>
      <c r="BE10" s="524"/>
      <c r="BF10" s="677"/>
      <c r="BG10" s="523">
        <f t="shared" si="4"/>
        <v>0</v>
      </c>
      <c r="BH10" s="679"/>
      <c r="BI10" s="523">
        <f>+(AK10+AA10+AU10+BE10)/T10</f>
        <v>0.66216216216216217</v>
      </c>
      <c r="BJ10" s="679"/>
      <c r="BK10" s="551"/>
      <c r="BL10" s="580">
        <f t="shared" si="6"/>
        <v>2.2072072072072073</v>
      </c>
      <c r="BM10" s="667"/>
      <c r="BN10" s="580">
        <f t="shared" si="8"/>
        <v>0</v>
      </c>
      <c r="BO10" s="667"/>
      <c r="BP10" s="580">
        <f t="shared" ref="BP10:BP11" si="12">IF(AND(AR10=0,AU10=0),"No Prog ni Ejec",IF(AR10=0,CONCATENATE("No Prog, Ejec=  ",AU10),AU10/AR10))</f>
        <v>0</v>
      </c>
      <c r="BQ10" s="667"/>
      <c r="BR10" s="580">
        <f t="shared" si="10"/>
        <v>0</v>
      </c>
      <c r="BS10" s="667"/>
      <c r="BT10" s="525">
        <f>+(X10+AH10+(AR10/3))</f>
        <v>0.7</v>
      </c>
      <c r="BU10" s="665"/>
      <c r="BV10" s="527">
        <f t="shared" ref="BV10:BV73" si="13">+(Z10+AJ10+(AT10/3))</f>
        <v>0</v>
      </c>
      <c r="BW10" s="524"/>
      <c r="BX10" s="524"/>
      <c r="BY10" s="524"/>
      <c r="BZ10" s="524"/>
      <c r="CA10" s="524"/>
      <c r="CB10" s="524"/>
      <c r="CC10" s="524"/>
    </row>
    <row r="11" spans="1:81" s="457" customFormat="1" ht="178.5" x14ac:dyDescent="0.25">
      <c r="A11" s="513">
        <v>11200</v>
      </c>
      <c r="B11" s="514" t="s">
        <v>3</v>
      </c>
      <c r="C11" s="515" t="s">
        <v>152</v>
      </c>
      <c r="D11" s="514" t="s">
        <v>256</v>
      </c>
      <c r="E11" s="660"/>
      <c r="F11" s="658"/>
      <c r="G11" s="516" t="s">
        <v>886</v>
      </c>
      <c r="H11" s="529" t="s">
        <v>888</v>
      </c>
      <c r="I11" s="660"/>
      <c r="J11" s="658"/>
      <c r="K11" s="670"/>
      <c r="L11" s="695"/>
      <c r="M11" s="658"/>
      <c r="N11" s="658"/>
      <c r="O11" s="658"/>
      <c r="P11" s="658"/>
      <c r="Q11" s="658"/>
      <c r="R11" s="514" t="s">
        <v>887</v>
      </c>
      <c r="S11" s="514" t="s">
        <v>99</v>
      </c>
      <c r="T11" s="529" t="s">
        <v>888</v>
      </c>
      <c r="U11" s="689"/>
      <c r="V11" s="687"/>
      <c r="W11" s="660"/>
      <c r="X11" s="517" t="s">
        <v>792</v>
      </c>
      <c r="Y11" s="658"/>
      <c r="Z11" s="670"/>
      <c r="AA11" s="517" t="s">
        <v>792</v>
      </c>
      <c r="AB11" s="670"/>
      <c r="AC11" s="523" t="e">
        <f>+(AA11/X11)</f>
        <v>#VALUE!</v>
      </c>
      <c r="AD11" s="680"/>
      <c r="AE11" s="523" t="e">
        <f t="shared" ref="AE11:AE75" si="14">+(AA11/T11)</f>
        <v>#VALUE!</v>
      </c>
      <c r="AF11" s="680"/>
      <c r="AG11" s="528" t="s">
        <v>895</v>
      </c>
      <c r="AH11" s="529" t="s">
        <v>888</v>
      </c>
      <c r="AI11" s="658"/>
      <c r="AJ11" s="670"/>
      <c r="AK11" s="524"/>
      <c r="AL11" s="676"/>
      <c r="AM11" s="523" t="e">
        <f>+(AK11/AH11)</f>
        <v>#VALUE!</v>
      </c>
      <c r="AN11" s="680"/>
      <c r="AO11" s="523" t="e">
        <f t="shared" si="2"/>
        <v>#VALUE!</v>
      </c>
      <c r="AP11" s="680"/>
      <c r="AQ11" s="552"/>
      <c r="AR11" s="529" t="s">
        <v>888</v>
      </c>
      <c r="AS11" s="658"/>
      <c r="AT11" s="670"/>
      <c r="AU11" s="524"/>
      <c r="AV11" s="676"/>
      <c r="AW11" s="523" t="e">
        <f>+(AU11/AR11)</f>
        <v>#VALUE!</v>
      </c>
      <c r="AX11" s="680"/>
      <c r="AY11" s="523" t="e">
        <f>+(AK11+AA11+AU11)/T11</f>
        <v>#VALUE!</v>
      </c>
      <c r="AZ11" s="680"/>
      <c r="BA11" s="552"/>
      <c r="BB11" s="529" t="s">
        <v>888</v>
      </c>
      <c r="BC11" s="658"/>
      <c r="BD11" s="670"/>
      <c r="BE11" s="524"/>
      <c r="BF11" s="676"/>
      <c r="BG11" s="523" t="e">
        <f t="shared" si="4"/>
        <v>#VALUE!</v>
      </c>
      <c r="BH11" s="680"/>
      <c r="BI11" s="523" t="e">
        <f>+(AK11+AA11+AU11+BE11)/T11</f>
        <v>#VALUE!</v>
      </c>
      <c r="BJ11" s="680"/>
      <c r="BK11" s="552"/>
      <c r="BL11" s="580" t="e">
        <f t="shared" si="6"/>
        <v>#VALUE!</v>
      </c>
      <c r="BM11" s="668"/>
      <c r="BN11" s="580" t="e">
        <f t="shared" si="8"/>
        <v>#VALUE!</v>
      </c>
      <c r="BO11" s="668"/>
      <c r="BP11" s="580" t="e">
        <f t="shared" si="12"/>
        <v>#VALUE!</v>
      </c>
      <c r="BQ11" s="668"/>
      <c r="BR11" s="580" t="e">
        <f t="shared" si="10"/>
        <v>#VALUE!</v>
      </c>
      <c r="BS11" s="668"/>
      <c r="BT11" s="525" t="e">
        <f t="shared" ref="BT11:BT75" si="15">+(X11+AH11+(AR11/3))</f>
        <v>#VALUE!</v>
      </c>
      <c r="BU11" s="665"/>
      <c r="BV11" s="527">
        <f t="shared" si="13"/>
        <v>0</v>
      </c>
      <c r="BW11" s="524"/>
      <c r="BX11" s="524"/>
      <c r="BY11" s="524"/>
      <c r="BZ11" s="524"/>
      <c r="CA11" s="524"/>
      <c r="CB11" s="524"/>
      <c r="CC11" s="524"/>
    </row>
    <row r="12" spans="1:81" s="457" customFormat="1" ht="51" x14ac:dyDescent="0.25">
      <c r="A12" s="513">
        <v>11300</v>
      </c>
      <c r="B12" s="514" t="s">
        <v>4</v>
      </c>
      <c r="C12" s="515" t="s">
        <v>150</v>
      </c>
      <c r="D12" s="514" t="s">
        <v>153</v>
      </c>
      <c r="E12" s="515" t="s">
        <v>151</v>
      </c>
      <c r="F12" s="514" t="s">
        <v>133</v>
      </c>
      <c r="G12" s="516" t="s">
        <v>124</v>
      </c>
      <c r="H12" s="515">
        <v>4</v>
      </c>
      <c r="I12" s="515" t="s">
        <v>293</v>
      </c>
      <c r="J12" s="514" t="s">
        <v>24</v>
      </c>
      <c r="K12" s="518">
        <v>0</v>
      </c>
      <c r="L12" s="519">
        <v>1</v>
      </c>
      <c r="M12" s="514" t="s">
        <v>51</v>
      </c>
      <c r="N12" s="514" t="s">
        <v>68</v>
      </c>
      <c r="O12" s="514" t="s">
        <v>21</v>
      </c>
      <c r="P12" s="514" t="s">
        <v>36</v>
      </c>
      <c r="Q12" s="514" t="s">
        <v>75</v>
      </c>
      <c r="R12" s="514" t="s">
        <v>631</v>
      </c>
      <c r="S12" s="514" t="s">
        <v>98</v>
      </c>
      <c r="T12" s="515">
        <v>4</v>
      </c>
      <c r="U12" s="520" t="str">
        <f t="shared" ref="U12:V76" si="16">+J12</f>
        <v>Reportar el cumplimiento del Plan de Acción de la Dependencia</v>
      </c>
      <c r="V12" s="521">
        <f t="shared" ref="V12:V76" si="17">+K12</f>
        <v>0</v>
      </c>
      <c r="W12" s="522" t="s">
        <v>117</v>
      </c>
      <c r="X12" s="547">
        <v>1</v>
      </c>
      <c r="Y12" s="522" t="s">
        <v>24</v>
      </c>
      <c r="Z12" s="518">
        <v>0</v>
      </c>
      <c r="AA12" s="524">
        <v>1</v>
      </c>
      <c r="AB12" s="527">
        <v>0</v>
      </c>
      <c r="AC12" s="523">
        <f t="shared" ref="AC12:AC75" si="18">+(AA12/X12)</f>
        <v>1</v>
      </c>
      <c r="AD12" s="523" t="e">
        <f t="shared" ref="AD12:AD75" si="19">+(AB12/Z12)</f>
        <v>#DIV/0!</v>
      </c>
      <c r="AE12" s="523">
        <f t="shared" si="14"/>
        <v>0.25</v>
      </c>
      <c r="AF12" s="523" t="e">
        <f t="shared" si="0"/>
        <v>#DIV/0!</v>
      </c>
      <c r="AG12" s="523"/>
      <c r="AH12" s="547">
        <v>1</v>
      </c>
      <c r="AI12" s="522" t="s">
        <v>24</v>
      </c>
      <c r="AJ12" s="518">
        <v>0</v>
      </c>
      <c r="AK12" s="524"/>
      <c r="AL12" s="524"/>
      <c r="AM12" s="523">
        <f t="shared" ref="AM12:AM75" si="20">+(AK12/AH12)</f>
        <v>0</v>
      </c>
      <c r="AN12" s="523" t="e">
        <f t="shared" si="1"/>
        <v>#DIV/0!</v>
      </c>
      <c r="AO12" s="523">
        <f t="shared" si="2"/>
        <v>0.25</v>
      </c>
      <c r="AP12" s="523" t="e">
        <f t="shared" si="3"/>
        <v>#DIV/0!</v>
      </c>
      <c r="AQ12" s="523"/>
      <c r="AR12" s="547">
        <v>1</v>
      </c>
      <c r="AS12" s="522" t="s">
        <v>24</v>
      </c>
      <c r="AT12" s="518">
        <v>0</v>
      </c>
      <c r="AU12" s="524"/>
      <c r="AV12" s="524"/>
      <c r="AW12" s="523">
        <f t="shared" ref="AW12:AW75" si="21">+(AU12/AR12)</f>
        <v>0</v>
      </c>
      <c r="AX12" s="523" t="e">
        <f t="shared" ref="AX12:AX75" si="22">+(AV12/AT12)</f>
        <v>#DIV/0!</v>
      </c>
      <c r="AY12" s="523">
        <f t="shared" ref="AY12:AY75" si="23">+(AK12+AA12+AU12)/T12</f>
        <v>0.25</v>
      </c>
      <c r="AZ12" s="523" t="e">
        <f t="shared" ref="AZ12:AZ75" si="24">+(AL12+AB12+AV12)/V12</f>
        <v>#DIV/0!</v>
      </c>
      <c r="BA12" s="523"/>
      <c r="BB12" s="547">
        <v>1</v>
      </c>
      <c r="BC12" s="522" t="s">
        <v>24</v>
      </c>
      <c r="BD12" s="518">
        <v>0</v>
      </c>
      <c r="BE12" s="524"/>
      <c r="BF12" s="524"/>
      <c r="BG12" s="517">
        <f t="shared" ref="BG12:BG76" si="25">+(BE12/BB12)</f>
        <v>0</v>
      </c>
      <c r="BH12" s="517" t="e">
        <f t="shared" ref="BH12:BH76" si="26">+(BF12/BD12)</f>
        <v>#DIV/0!</v>
      </c>
      <c r="BI12" s="517">
        <f t="shared" ref="BI12:BI76" si="27">+(AK12+AA12+AU12+BE12)/T12</f>
        <v>0.25</v>
      </c>
      <c r="BJ12" s="517" t="e">
        <f t="shared" ref="BJ12:BJ76" si="28">+(AL12+AB12+AV12+BF12)/V12</f>
        <v>#DIV/0!</v>
      </c>
      <c r="BK12" s="517"/>
      <c r="BL12" s="580">
        <f t="shared" si="6"/>
        <v>1</v>
      </c>
      <c r="BM12" s="580" t="str">
        <f t="shared" si="7"/>
        <v>No Prog ni Ejec</v>
      </c>
      <c r="BN12" s="580">
        <f t="shared" si="8"/>
        <v>0</v>
      </c>
      <c r="BO12" s="580" t="str">
        <f t="shared" si="9"/>
        <v>No Prog ni Ejec</v>
      </c>
      <c r="BP12" s="580">
        <f t="shared" ref="BP12:BP75" si="29">IF(AND(AR12=0,AU12=0),"No Prog ni Ejec",IF(AR12=0,CONCATENATE("No Prog, Ejec=  ",AU12),AU12/AR12))</f>
        <v>0</v>
      </c>
      <c r="BQ12" s="580" t="str">
        <f t="shared" ref="BQ12:BQ75" si="30">IF(AND(AT12=0,AV12=0),"No Prog ni Ejec",IF(AT12=0,CONCATENATE("No Prog, Ejec=  ",AV12),AV12/AT12))</f>
        <v>No Prog ni Ejec</v>
      </c>
      <c r="BR12" s="580">
        <f t="shared" si="10"/>
        <v>0</v>
      </c>
      <c r="BS12" s="580" t="str">
        <f t="shared" si="11"/>
        <v>No Prog ni Ejec</v>
      </c>
      <c r="BT12" s="553">
        <f t="shared" si="15"/>
        <v>2.3333333333333335</v>
      </c>
      <c r="BU12" s="526" t="str">
        <f>+U12</f>
        <v>Reportar el cumplimiento del Plan de Acción de la Dependencia</v>
      </c>
      <c r="BV12" s="527">
        <f t="shared" si="13"/>
        <v>0</v>
      </c>
      <c r="BW12" s="524"/>
      <c r="BX12" s="524"/>
      <c r="BY12" s="524"/>
      <c r="BZ12" s="524"/>
      <c r="CA12" s="524"/>
      <c r="CB12" s="524"/>
      <c r="CC12" s="524"/>
    </row>
    <row r="13" spans="1:81" s="457" customFormat="1" ht="89.25" x14ac:dyDescent="0.25">
      <c r="A13" s="513">
        <v>11300</v>
      </c>
      <c r="B13" s="514" t="s">
        <v>4</v>
      </c>
      <c r="C13" s="515" t="s">
        <v>157</v>
      </c>
      <c r="D13" s="514" t="s">
        <v>256</v>
      </c>
      <c r="E13" s="515" t="s">
        <v>576</v>
      </c>
      <c r="F13" s="514" t="s">
        <v>159</v>
      </c>
      <c r="G13" s="516" t="s">
        <v>123</v>
      </c>
      <c r="H13" s="517">
        <v>1</v>
      </c>
      <c r="I13" s="515" t="s">
        <v>577</v>
      </c>
      <c r="J13" s="514" t="s">
        <v>156</v>
      </c>
      <c r="K13" s="518">
        <v>0</v>
      </c>
      <c r="L13" s="519">
        <v>1</v>
      </c>
      <c r="M13" s="514" t="s">
        <v>51</v>
      </c>
      <c r="N13" s="514" t="s">
        <v>68</v>
      </c>
      <c r="O13" s="514" t="s">
        <v>21</v>
      </c>
      <c r="P13" s="514" t="s">
        <v>36</v>
      </c>
      <c r="Q13" s="514" t="s">
        <v>75</v>
      </c>
      <c r="R13" s="514" t="s">
        <v>672</v>
      </c>
      <c r="S13" s="514" t="s">
        <v>98</v>
      </c>
      <c r="T13" s="519">
        <v>1</v>
      </c>
      <c r="U13" s="520" t="str">
        <f t="shared" si="16"/>
        <v>Formular los proceso y procedimientos en el marco del MIPG</v>
      </c>
      <c r="V13" s="521">
        <f t="shared" si="17"/>
        <v>0</v>
      </c>
      <c r="W13" s="522" t="s">
        <v>117</v>
      </c>
      <c r="X13" s="517">
        <v>0.25</v>
      </c>
      <c r="Y13" s="522" t="s">
        <v>156</v>
      </c>
      <c r="Z13" s="518">
        <v>0</v>
      </c>
      <c r="AA13" s="525">
        <f>(38/41)*25%</f>
        <v>0.23170731707317074</v>
      </c>
      <c r="AB13" s="527">
        <v>0</v>
      </c>
      <c r="AC13" s="523">
        <f t="shared" si="18"/>
        <v>0.92682926829268297</v>
      </c>
      <c r="AD13" s="523" t="e">
        <f t="shared" si="19"/>
        <v>#DIV/0!</v>
      </c>
      <c r="AE13" s="523">
        <f t="shared" si="14"/>
        <v>0.23170731707317074</v>
      </c>
      <c r="AF13" s="523" t="e">
        <f t="shared" si="0"/>
        <v>#DIV/0!</v>
      </c>
      <c r="AG13" s="523"/>
      <c r="AH13" s="517">
        <v>0.25</v>
      </c>
      <c r="AI13" s="522" t="s">
        <v>156</v>
      </c>
      <c r="AJ13" s="518">
        <v>0</v>
      </c>
      <c r="AK13" s="524"/>
      <c r="AL13" s="524"/>
      <c r="AM13" s="523">
        <f t="shared" si="20"/>
        <v>0</v>
      </c>
      <c r="AN13" s="523" t="e">
        <f t="shared" si="1"/>
        <v>#DIV/0!</v>
      </c>
      <c r="AO13" s="523">
        <f t="shared" si="2"/>
        <v>0.23170731707317074</v>
      </c>
      <c r="AP13" s="523" t="e">
        <f t="shared" si="3"/>
        <v>#DIV/0!</v>
      </c>
      <c r="AQ13" s="523"/>
      <c r="AR13" s="517">
        <v>0.25</v>
      </c>
      <c r="AS13" s="522" t="s">
        <v>156</v>
      </c>
      <c r="AT13" s="518">
        <v>0</v>
      </c>
      <c r="AU13" s="524"/>
      <c r="AV13" s="524"/>
      <c r="AW13" s="523">
        <f t="shared" si="21"/>
        <v>0</v>
      </c>
      <c r="AX13" s="523" t="e">
        <f t="shared" si="22"/>
        <v>#DIV/0!</v>
      </c>
      <c r="AY13" s="523">
        <f t="shared" si="23"/>
        <v>0.23170731707317074</v>
      </c>
      <c r="AZ13" s="523" t="e">
        <f t="shared" si="24"/>
        <v>#DIV/0!</v>
      </c>
      <c r="BA13" s="523"/>
      <c r="BB13" s="517">
        <v>0.25</v>
      </c>
      <c r="BC13" s="522" t="s">
        <v>156</v>
      </c>
      <c r="BD13" s="518">
        <v>0</v>
      </c>
      <c r="BE13" s="524"/>
      <c r="BF13" s="524"/>
      <c r="BG13" s="517">
        <f t="shared" si="25"/>
        <v>0</v>
      </c>
      <c r="BH13" s="517" t="e">
        <f t="shared" si="26"/>
        <v>#DIV/0!</v>
      </c>
      <c r="BI13" s="517">
        <f t="shared" si="27"/>
        <v>0.23170731707317074</v>
      </c>
      <c r="BJ13" s="517" t="e">
        <f t="shared" si="28"/>
        <v>#DIV/0!</v>
      </c>
      <c r="BK13" s="517"/>
      <c r="BL13" s="580">
        <f t="shared" si="6"/>
        <v>0.92682926829268297</v>
      </c>
      <c r="BM13" s="580" t="str">
        <f t="shared" si="7"/>
        <v>No Prog ni Ejec</v>
      </c>
      <c r="BN13" s="580">
        <f t="shared" si="8"/>
        <v>0</v>
      </c>
      <c r="BO13" s="580" t="str">
        <f t="shared" si="9"/>
        <v>No Prog ni Ejec</v>
      </c>
      <c r="BP13" s="580">
        <f t="shared" si="29"/>
        <v>0</v>
      </c>
      <c r="BQ13" s="580" t="str">
        <f t="shared" si="30"/>
        <v>No Prog ni Ejec</v>
      </c>
      <c r="BR13" s="580">
        <f t="shared" si="10"/>
        <v>0</v>
      </c>
      <c r="BS13" s="580" t="str">
        <f t="shared" si="11"/>
        <v>No Prog ni Ejec</v>
      </c>
      <c r="BT13" s="525">
        <f t="shared" si="15"/>
        <v>0.58333333333333337</v>
      </c>
      <c r="BU13" s="526" t="str">
        <f>+U13</f>
        <v>Formular los proceso y procedimientos en el marco del MIPG</v>
      </c>
      <c r="BV13" s="527">
        <f t="shared" si="13"/>
        <v>0</v>
      </c>
      <c r="BW13" s="524"/>
      <c r="BX13" s="524"/>
      <c r="BY13" s="524"/>
      <c r="BZ13" s="524"/>
      <c r="CA13" s="524"/>
      <c r="CB13" s="524"/>
      <c r="CC13" s="524"/>
    </row>
    <row r="14" spans="1:81" s="457" customFormat="1" ht="89.25" x14ac:dyDescent="0.25">
      <c r="A14" s="513">
        <v>11300</v>
      </c>
      <c r="B14" s="514" t="s">
        <v>4</v>
      </c>
      <c r="C14" s="515" t="s">
        <v>157</v>
      </c>
      <c r="D14" s="514" t="s">
        <v>256</v>
      </c>
      <c r="E14" s="515" t="s">
        <v>158</v>
      </c>
      <c r="F14" s="514" t="s">
        <v>127</v>
      </c>
      <c r="G14" s="516" t="s">
        <v>123</v>
      </c>
      <c r="H14" s="517">
        <v>1</v>
      </c>
      <c r="I14" s="515" t="s">
        <v>294</v>
      </c>
      <c r="J14" s="514" t="s">
        <v>128</v>
      </c>
      <c r="K14" s="518">
        <v>0</v>
      </c>
      <c r="L14" s="519">
        <v>1</v>
      </c>
      <c r="M14" s="514" t="s">
        <v>51</v>
      </c>
      <c r="N14" s="514" t="s">
        <v>68</v>
      </c>
      <c r="O14" s="514" t="s">
        <v>21</v>
      </c>
      <c r="P14" s="514" t="s">
        <v>36</v>
      </c>
      <c r="Q14" s="514" t="s">
        <v>75</v>
      </c>
      <c r="R14" s="514" t="s">
        <v>570</v>
      </c>
      <c r="S14" s="514" t="s">
        <v>98</v>
      </c>
      <c r="T14" s="519">
        <v>1</v>
      </c>
      <c r="U14" s="520" t="str">
        <f t="shared" si="16"/>
        <v>Remitir informes trimestrales de los indicadores formulados y las acciones de mejoras</v>
      </c>
      <c r="V14" s="521">
        <f t="shared" si="17"/>
        <v>0</v>
      </c>
      <c r="W14" s="522" t="s">
        <v>117</v>
      </c>
      <c r="X14" s="517">
        <v>0</v>
      </c>
      <c r="Y14" s="522" t="s">
        <v>128</v>
      </c>
      <c r="Z14" s="518">
        <v>0</v>
      </c>
      <c r="AA14" s="603">
        <v>0</v>
      </c>
      <c r="AB14" s="527">
        <v>0</v>
      </c>
      <c r="AC14" s="523" t="e">
        <f t="shared" si="18"/>
        <v>#DIV/0!</v>
      </c>
      <c r="AD14" s="523" t="e">
        <f>+(AB14/Z14)</f>
        <v>#DIV/0!</v>
      </c>
      <c r="AE14" s="523">
        <f>+(AA14/T14)</f>
        <v>0</v>
      </c>
      <c r="AF14" s="523" t="e">
        <f>+(AB14/V14)</f>
        <v>#DIV/0!</v>
      </c>
      <c r="AG14" s="523"/>
      <c r="AH14" s="517">
        <v>0</v>
      </c>
      <c r="AI14" s="522" t="s">
        <v>128</v>
      </c>
      <c r="AJ14" s="518">
        <v>0</v>
      </c>
      <c r="AK14" s="524"/>
      <c r="AL14" s="524"/>
      <c r="AM14" s="523" t="e">
        <f t="shared" si="20"/>
        <v>#DIV/0!</v>
      </c>
      <c r="AN14" s="523" t="e">
        <f t="shared" si="1"/>
        <v>#DIV/0!</v>
      </c>
      <c r="AO14" s="523">
        <f t="shared" si="2"/>
        <v>0</v>
      </c>
      <c r="AP14" s="523" t="e">
        <f t="shared" si="3"/>
        <v>#DIV/0!</v>
      </c>
      <c r="AQ14" s="523"/>
      <c r="AR14" s="517">
        <v>0</v>
      </c>
      <c r="AS14" s="522" t="s">
        <v>128</v>
      </c>
      <c r="AT14" s="518">
        <v>0</v>
      </c>
      <c r="AU14" s="524"/>
      <c r="AV14" s="524"/>
      <c r="AW14" s="523" t="e">
        <f t="shared" si="21"/>
        <v>#DIV/0!</v>
      </c>
      <c r="AX14" s="523" t="e">
        <f t="shared" si="22"/>
        <v>#DIV/0!</v>
      </c>
      <c r="AY14" s="523">
        <f t="shared" si="23"/>
        <v>0</v>
      </c>
      <c r="AZ14" s="523" t="e">
        <f t="shared" si="24"/>
        <v>#DIV/0!</v>
      </c>
      <c r="BA14" s="523"/>
      <c r="BB14" s="517">
        <v>1</v>
      </c>
      <c r="BC14" s="522" t="s">
        <v>128</v>
      </c>
      <c r="BD14" s="518">
        <v>0</v>
      </c>
      <c r="BE14" s="524"/>
      <c r="BF14" s="524"/>
      <c r="BG14" s="517">
        <f t="shared" si="25"/>
        <v>0</v>
      </c>
      <c r="BH14" s="517" t="e">
        <f t="shared" si="26"/>
        <v>#DIV/0!</v>
      </c>
      <c r="BI14" s="517">
        <f t="shared" si="27"/>
        <v>0</v>
      </c>
      <c r="BJ14" s="517" t="e">
        <f t="shared" si="28"/>
        <v>#DIV/0!</v>
      </c>
      <c r="BK14" s="517"/>
      <c r="BL14" s="580" t="str">
        <f t="shared" si="6"/>
        <v>No Prog ni Ejec</v>
      </c>
      <c r="BM14" s="580" t="str">
        <f t="shared" si="7"/>
        <v>No Prog ni Ejec</v>
      </c>
      <c r="BN14" s="580" t="str">
        <f t="shared" si="8"/>
        <v>No Prog ni Ejec</v>
      </c>
      <c r="BO14" s="580" t="str">
        <f t="shared" si="9"/>
        <v>No Prog ni Ejec</v>
      </c>
      <c r="BP14" s="580" t="str">
        <f t="shared" si="29"/>
        <v>No Prog ni Ejec</v>
      </c>
      <c r="BQ14" s="580" t="str">
        <f t="shared" si="30"/>
        <v>No Prog ni Ejec</v>
      </c>
      <c r="BR14" s="580">
        <f t="shared" si="10"/>
        <v>0</v>
      </c>
      <c r="BS14" s="580" t="str">
        <f t="shared" si="11"/>
        <v>No Prog ni Ejec</v>
      </c>
      <c r="BT14" s="525">
        <f t="shared" si="15"/>
        <v>0</v>
      </c>
      <c r="BU14" s="526" t="str">
        <f>+U14</f>
        <v>Remitir informes trimestrales de los indicadores formulados y las acciones de mejoras</v>
      </c>
      <c r="BV14" s="527">
        <f t="shared" si="13"/>
        <v>0</v>
      </c>
      <c r="BW14" s="524"/>
      <c r="BX14" s="524"/>
      <c r="BY14" s="524"/>
      <c r="BZ14" s="524"/>
      <c r="CA14" s="524"/>
      <c r="CB14" s="524"/>
      <c r="CC14" s="524"/>
    </row>
    <row r="15" spans="1:81" s="457" customFormat="1" ht="51" x14ac:dyDescent="0.25">
      <c r="A15" s="513">
        <v>11300</v>
      </c>
      <c r="B15" s="514" t="s">
        <v>4</v>
      </c>
      <c r="C15" s="515" t="s">
        <v>160</v>
      </c>
      <c r="D15" s="514" t="s">
        <v>145</v>
      </c>
      <c r="E15" s="515" t="s">
        <v>161</v>
      </c>
      <c r="F15" s="514" t="s">
        <v>162</v>
      </c>
      <c r="G15" s="516" t="s">
        <v>123</v>
      </c>
      <c r="H15" s="517">
        <v>1</v>
      </c>
      <c r="I15" s="515" t="s">
        <v>295</v>
      </c>
      <c r="J15" s="514" t="s">
        <v>165</v>
      </c>
      <c r="K15" s="518">
        <v>74955308000</v>
      </c>
      <c r="L15" s="554">
        <v>1.7542864196212072E-3</v>
      </c>
      <c r="M15" s="514" t="s">
        <v>46</v>
      </c>
      <c r="N15" s="514" t="s">
        <v>68</v>
      </c>
      <c r="O15" s="514" t="s">
        <v>21</v>
      </c>
      <c r="P15" s="514" t="s">
        <v>36</v>
      </c>
      <c r="Q15" s="514" t="s">
        <v>213</v>
      </c>
      <c r="R15" s="514" t="s">
        <v>182</v>
      </c>
      <c r="S15" s="514" t="s">
        <v>99</v>
      </c>
      <c r="T15" s="519">
        <v>1</v>
      </c>
      <c r="U15" s="520" t="str">
        <f t="shared" si="16"/>
        <v>Transferencias Entidades de Administración Publica Central</v>
      </c>
      <c r="V15" s="521">
        <f t="shared" si="17"/>
        <v>74955308000</v>
      </c>
      <c r="W15" s="522" t="s">
        <v>116</v>
      </c>
      <c r="X15" s="517">
        <v>0.25</v>
      </c>
      <c r="Y15" s="522" t="s">
        <v>165</v>
      </c>
      <c r="Z15" s="518">
        <f>+V15*0.25</f>
        <v>18738827000</v>
      </c>
      <c r="AA15" s="606">
        <f>+(AB15/Z15)*X15</f>
        <v>0.24536724522564832</v>
      </c>
      <c r="AB15" s="518">
        <v>18391577439</v>
      </c>
      <c r="AC15" s="523">
        <f t="shared" si="18"/>
        <v>0.98146898090259327</v>
      </c>
      <c r="AD15" s="523">
        <f t="shared" si="19"/>
        <v>0.98146898090259327</v>
      </c>
      <c r="AE15" s="523">
        <f t="shared" si="14"/>
        <v>0.24536724522564832</v>
      </c>
      <c r="AF15" s="523">
        <f t="shared" si="0"/>
        <v>0.24536724522564832</v>
      </c>
      <c r="AG15" s="528"/>
      <c r="AH15" s="517">
        <v>0.25</v>
      </c>
      <c r="AI15" s="522" t="s">
        <v>165</v>
      </c>
      <c r="AJ15" s="518">
        <v>18738827000</v>
      </c>
      <c r="AK15" s="524"/>
      <c r="AL15" s="524"/>
      <c r="AM15" s="523">
        <f t="shared" si="20"/>
        <v>0</v>
      </c>
      <c r="AN15" s="523">
        <f t="shared" si="1"/>
        <v>0</v>
      </c>
      <c r="AO15" s="523">
        <f t="shared" si="2"/>
        <v>0.24536724522564832</v>
      </c>
      <c r="AP15" s="523">
        <f t="shared" si="3"/>
        <v>0.24536724522564832</v>
      </c>
      <c r="AQ15" s="523"/>
      <c r="AR15" s="517">
        <v>0.25</v>
      </c>
      <c r="AS15" s="522" t="s">
        <v>165</v>
      </c>
      <c r="AT15" s="518">
        <v>18738827000</v>
      </c>
      <c r="AU15" s="524"/>
      <c r="AV15" s="524"/>
      <c r="AW15" s="523">
        <f t="shared" si="21"/>
        <v>0</v>
      </c>
      <c r="AX15" s="523">
        <f t="shared" si="22"/>
        <v>0</v>
      </c>
      <c r="AY15" s="523">
        <f t="shared" si="23"/>
        <v>0.24536724522564832</v>
      </c>
      <c r="AZ15" s="523">
        <f t="shared" si="24"/>
        <v>0.24536724522564832</v>
      </c>
      <c r="BA15" s="523"/>
      <c r="BB15" s="517">
        <v>0.25</v>
      </c>
      <c r="BC15" s="522" t="s">
        <v>165</v>
      </c>
      <c r="BD15" s="518">
        <v>18738827000</v>
      </c>
      <c r="BE15" s="524"/>
      <c r="BF15" s="524"/>
      <c r="BG15" s="517">
        <f t="shared" si="25"/>
        <v>0</v>
      </c>
      <c r="BH15" s="517">
        <f t="shared" si="26"/>
        <v>0</v>
      </c>
      <c r="BI15" s="517">
        <f t="shared" si="27"/>
        <v>0.24536724522564832</v>
      </c>
      <c r="BJ15" s="517">
        <f t="shared" si="28"/>
        <v>0.24536724522564832</v>
      </c>
      <c r="BK15" s="517"/>
      <c r="BL15" s="580">
        <f t="shared" si="6"/>
        <v>0.98146898090259327</v>
      </c>
      <c r="BM15" s="580">
        <f t="shared" si="7"/>
        <v>0.98146898090259327</v>
      </c>
      <c r="BN15" s="580">
        <f t="shared" si="8"/>
        <v>0</v>
      </c>
      <c r="BO15" s="580">
        <f t="shared" si="9"/>
        <v>0</v>
      </c>
      <c r="BP15" s="580">
        <f t="shared" si="29"/>
        <v>0</v>
      </c>
      <c r="BQ15" s="580">
        <f t="shared" si="30"/>
        <v>0</v>
      </c>
      <c r="BR15" s="580">
        <f t="shared" si="10"/>
        <v>0</v>
      </c>
      <c r="BS15" s="580">
        <f t="shared" si="11"/>
        <v>0</v>
      </c>
      <c r="BT15" s="525">
        <f t="shared" si="15"/>
        <v>0.58333333333333337</v>
      </c>
      <c r="BU15" s="526" t="str">
        <f t="shared" ref="BU15:BU79" si="31">+U15</f>
        <v>Transferencias Entidades de Administración Publica Central</v>
      </c>
      <c r="BV15" s="527">
        <f t="shared" si="13"/>
        <v>43723929666.666664</v>
      </c>
      <c r="BW15" s="524"/>
      <c r="BX15" s="524"/>
      <c r="BY15" s="524"/>
      <c r="BZ15" s="524"/>
      <c r="CA15" s="524"/>
      <c r="CB15" s="524"/>
      <c r="CC15" s="524"/>
    </row>
    <row r="16" spans="1:81" s="457" customFormat="1" ht="63.75" x14ac:dyDescent="0.25">
      <c r="A16" s="513">
        <v>11300</v>
      </c>
      <c r="B16" s="514" t="s">
        <v>4</v>
      </c>
      <c r="C16" s="515" t="s">
        <v>160</v>
      </c>
      <c r="D16" s="514" t="s">
        <v>145</v>
      </c>
      <c r="E16" s="515" t="s">
        <v>161</v>
      </c>
      <c r="F16" s="514" t="s">
        <v>162</v>
      </c>
      <c r="G16" s="516" t="s">
        <v>123</v>
      </c>
      <c r="H16" s="517">
        <v>1</v>
      </c>
      <c r="I16" s="515" t="s">
        <v>296</v>
      </c>
      <c r="J16" s="514" t="s">
        <v>166</v>
      </c>
      <c r="K16" s="518">
        <v>122333530698</v>
      </c>
      <c r="L16" s="554">
        <v>2.0898994700771331E-3</v>
      </c>
      <c r="M16" s="514" t="s">
        <v>46</v>
      </c>
      <c r="N16" s="514" t="s">
        <v>68</v>
      </c>
      <c r="O16" s="514" t="s">
        <v>21</v>
      </c>
      <c r="P16" s="514" t="s">
        <v>36</v>
      </c>
      <c r="Q16" s="514" t="s">
        <v>213</v>
      </c>
      <c r="R16" s="514" t="s">
        <v>182</v>
      </c>
      <c r="S16" s="514" t="s">
        <v>99</v>
      </c>
      <c r="T16" s="519">
        <v>1</v>
      </c>
      <c r="U16" s="520" t="str">
        <f t="shared" si="16"/>
        <v>Empresas Publicas nacionales No Financieras - ADRES</v>
      </c>
      <c r="V16" s="521">
        <f t="shared" si="17"/>
        <v>122333530698</v>
      </c>
      <c r="W16" s="522" t="s">
        <v>116</v>
      </c>
      <c r="X16" s="517">
        <v>0.25</v>
      </c>
      <c r="Y16" s="522" t="s">
        <v>166</v>
      </c>
      <c r="Z16" s="518">
        <v>22323757500</v>
      </c>
      <c r="AA16" s="606">
        <f>+(AB16/Z16)*X16</f>
        <v>0.17572054186308017</v>
      </c>
      <c r="AB16" s="518">
        <v>15690971057.280001</v>
      </c>
      <c r="AC16" s="523">
        <f t="shared" si="18"/>
        <v>0.70288216745232068</v>
      </c>
      <c r="AD16" s="523">
        <f t="shared" si="19"/>
        <v>0.70288216745232068</v>
      </c>
      <c r="AE16" s="523">
        <f t="shared" si="14"/>
        <v>0.17572054186308017</v>
      </c>
      <c r="AF16" s="523">
        <f t="shared" si="0"/>
        <v>0.12826386165552342</v>
      </c>
      <c r="AG16" s="528" t="s">
        <v>995</v>
      </c>
      <c r="AH16" s="517">
        <v>0.25</v>
      </c>
      <c r="AI16" s="522" t="s">
        <v>166</v>
      </c>
      <c r="AJ16" s="518">
        <v>22323757500</v>
      </c>
      <c r="AK16" s="524"/>
      <c r="AL16" s="524"/>
      <c r="AM16" s="523">
        <f t="shared" si="20"/>
        <v>0</v>
      </c>
      <c r="AN16" s="523">
        <f t="shared" si="1"/>
        <v>0</v>
      </c>
      <c r="AO16" s="523">
        <f t="shared" si="2"/>
        <v>0.17572054186308017</v>
      </c>
      <c r="AP16" s="523">
        <f t="shared" si="3"/>
        <v>0.12826386165552342</v>
      </c>
      <c r="AQ16" s="523"/>
      <c r="AR16" s="517">
        <v>0.25</v>
      </c>
      <c r="AS16" s="522" t="s">
        <v>166</v>
      </c>
      <c r="AT16" s="518">
        <v>22323757500</v>
      </c>
      <c r="AU16" s="524"/>
      <c r="AV16" s="524"/>
      <c r="AW16" s="523">
        <f t="shared" si="21"/>
        <v>0</v>
      </c>
      <c r="AX16" s="523">
        <f t="shared" si="22"/>
        <v>0</v>
      </c>
      <c r="AY16" s="523">
        <f t="shared" si="23"/>
        <v>0.17572054186308017</v>
      </c>
      <c r="AZ16" s="523">
        <f t="shared" si="24"/>
        <v>0.12826386165552342</v>
      </c>
      <c r="BA16" s="523"/>
      <c r="BB16" s="517">
        <v>0.25</v>
      </c>
      <c r="BC16" s="522" t="s">
        <v>166</v>
      </c>
      <c r="BD16" s="518">
        <v>22323757500</v>
      </c>
      <c r="BE16" s="524"/>
      <c r="BF16" s="524"/>
      <c r="BG16" s="517">
        <f t="shared" si="25"/>
        <v>0</v>
      </c>
      <c r="BH16" s="517">
        <f t="shared" si="26"/>
        <v>0</v>
      </c>
      <c r="BI16" s="517">
        <f t="shared" si="27"/>
        <v>0.17572054186308017</v>
      </c>
      <c r="BJ16" s="517">
        <f t="shared" si="28"/>
        <v>0.12826386165552342</v>
      </c>
      <c r="BK16" s="517"/>
      <c r="BL16" s="580">
        <f t="shared" si="6"/>
        <v>0.70288216745232068</v>
      </c>
      <c r="BM16" s="580">
        <f t="shared" si="7"/>
        <v>0.70288216745232068</v>
      </c>
      <c r="BN16" s="580">
        <f t="shared" si="8"/>
        <v>0</v>
      </c>
      <c r="BO16" s="580">
        <f t="shared" si="9"/>
        <v>0</v>
      </c>
      <c r="BP16" s="580">
        <f t="shared" si="29"/>
        <v>0</v>
      </c>
      <c r="BQ16" s="580">
        <f t="shared" si="30"/>
        <v>0</v>
      </c>
      <c r="BR16" s="580">
        <f t="shared" si="10"/>
        <v>0</v>
      </c>
      <c r="BS16" s="580">
        <f t="shared" si="11"/>
        <v>0</v>
      </c>
      <c r="BT16" s="525">
        <f t="shared" si="15"/>
        <v>0.58333333333333337</v>
      </c>
      <c r="BU16" s="526" t="str">
        <f t="shared" si="31"/>
        <v>Empresas Publicas nacionales No Financieras - ADRES</v>
      </c>
      <c r="BV16" s="527">
        <f t="shared" si="13"/>
        <v>52088767500</v>
      </c>
      <c r="BW16" s="524"/>
      <c r="BX16" s="524"/>
      <c r="BY16" s="524"/>
      <c r="BZ16" s="524"/>
      <c r="CA16" s="524"/>
      <c r="CB16" s="524"/>
      <c r="CC16" s="524"/>
    </row>
    <row r="17" spans="1:81" s="457" customFormat="1" ht="51" x14ac:dyDescent="0.25">
      <c r="A17" s="513">
        <v>11300</v>
      </c>
      <c r="B17" s="514" t="s">
        <v>4</v>
      </c>
      <c r="C17" s="515" t="s">
        <v>160</v>
      </c>
      <c r="D17" s="514" t="s">
        <v>145</v>
      </c>
      <c r="E17" s="515" t="s">
        <v>161</v>
      </c>
      <c r="F17" s="514" t="s">
        <v>162</v>
      </c>
      <c r="G17" s="516" t="s">
        <v>123</v>
      </c>
      <c r="H17" s="517">
        <v>1</v>
      </c>
      <c r="I17" s="515" t="s">
        <v>297</v>
      </c>
      <c r="J17" s="514" t="s">
        <v>167</v>
      </c>
      <c r="K17" s="518">
        <v>3000000000</v>
      </c>
      <c r="L17" s="554">
        <v>7.0213296420096381E-5</v>
      </c>
      <c r="M17" s="514" t="s">
        <v>46</v>
      </c>
      <c r="N17" s="514" t="s">
        <v>68</v>
      </c>
      <c r="O17" s="514" t="s">
        <v>21</v>
      </c>
      <c r="P17" s="514" t="s">
        <v>36</v>
      </c>
      <c r="Q17" s="514" t="s">
        <v>213</v>
      </c>
      <c r="R17" s="514" t="s">
        <v>182</v>
      </c>
      <c r="S17" s="514" t="s">
        <v>99</v>
      </c>
      <c r="T17" s="519">
        <v>1</v>
      </c>
      <c r="U17" s="520" t="str">
        <f t="shared" si="16"/>
        <v>Sentencias y Conciliaciones URA</v>
      </c>
      <c r="V17" s="521">
        <f t="shared" si="17"/>
        <v>3000000000</v>
      </c>
      <c r="W17" s="522" t="s">
        <v>116</v>
      </c>
      <c r="X17" s="517">
        <v>0.25</v>
      </c>
      <c r="Y17" s="522" t="s">
        <v>167</v>
      </c>
      <c r="Z17" s="518">
        <v>750000000</v>
      </c>
      <c r="AA17" s="606">
        <f>+(AB17/Z17)*X17</f>
        <v>0.48054275674666669</v>
      </c>
      <c r="AB17" s="518">
        <v>1441628270.24</v>
      </c>
      <c r="AC17" s="523">
        <f t="shared" si="18"/>
        <v>1.9221710269866668</v>
      </c>
      <c r="AD17" s="523">
        <f t="shared" si="19"/>
        <v>1.9221710269866668</v>
      </c>
      <c r="AE17" s="523">
        <f t="shared" si="14"/>
        <v>0.48054275674666669</v>
      </c>
      <c r="AF17" s="523">
        <f t="shared" si="0"/>
        <v>0.48054275674666669</v>
      </c>
      <c r="AG17" s="528"/>
      <c r="AH17" s="517">
        <v>0.25</v>
      </c>
      <c r="AI17" s="522" t="s">
        <v>167</v>
      </c>
      <c r="AJ17" s="518">
        <v>750000000</v>
      </c>
      <c r="AK17" s="524"/>
      <c r="AL17" s="524"/>
      <c r="AM17" s="523">
        <f t="shared" si="20"/>
        <v>0</v>
      </c>
      <c r="AN17" s="523">
        <f t="shared" si="1"/>
        <v>0</v>
      </c>
      <c r="AO17" s="523">
        <f t="shared" si="2"/>
        <v>0.48054275674666669</v>
      </c>
      <c r="AP17" s="523">
        <f t="shared" si="3"/>
        <v>0.48054275674666669</v>
      </c>
      <c r="AQ17" s="523"/>
      <c r="AR17" s="517">
        <v>0.25</v>
      </c>
      <c r="AS17" s="522" t="s">
        <v>167</v>
      </c>
      <c r="AT17" s="518">
        <v>750000000</v>
      </c>
      <c r="AU17" s="524"/>
      <c r="AV17" s="524"/>
      <c r="AW17" s="523">
        <f t="shared" si="21"/>
        <v>0</v>
      </c>
      <c r="AX17" s="523">
        <f t="shared" si="22"/>
        <v>0</v>
      </c>
      <c r="AY17" s="523">
        <f t="shared" si="23"/>
        <v>0.48054275674666669</v>
      </c>
      <c r="AZ17" s="523">
        <f t="shared" si="24"/>
        <v>0.48054275674666669</v>
      </c>
      <c r="BA17" s="523"/>
      <c r="BB17" s="517">
        <v>0.25</v>
      </c>
      <c r="BC17" s="522" t="s">
        <v>167</v>
      </c>
      <c r="BD17" s="518">
        <v>750000000</v>
      </c>
      <c r="BE17" s="524"/>
      <c r="BF17" s="524"/>
      <c r="BG17" s="517">
        <f t="shared" si="25"/>
        <v>0</v>
      </c>
      <c r="BH17" s="517">
        <f t="shared" si="26"/>
        <v>0</v>
      </c>
      <c r="BI17" s="517">
        <f t="shared" si="27"/>
        <v>0.48054275674666669</v>
      </c>
      <c r="BJ17" s="517">
        <f t="shared" si="28"/>
        <v>0.48054275674666669</v>
      </c>
      <c r="BK17" s="517"/>
      <c r="BL17" s="580">
        <f t="shared" si="6"/>
        <v>1.9221710269866668</v>
      </c>
      <c r="BM17" s="580">
        <f t="shared" si="7"/>
        <v>1.9221710269866668</v>
      </c>
      <c r="BN17" s="580">
        <f t="shared" si="8"/>
        <v>0</v>
      </c>
      <c r="BO17" s="580">
        <f t="shared" si="9"/>
        <v>0</v>
      </c>
      <c r="BP17" s="580">
        <f t="shared" si="29"/>
        <v>0</v>
      </c>
      <c r="BQ17" s="580">
        <f t="shared" si="30"/>
        <v>0</v>
      </c>
      <c r="BR17" s="580">
        <f t="shared" si="10"/>
        <v>0</v>
      </c>
      <c r="BS17" s="580">
        <f t="shared" si="11"/>
        <v>0</v>
      </c>
      <c r="BT17" s="525">
        <f t="shared" si="15"/>
        <v>0.58333333333333337</v>
      </c>
      <c r="BU17" s="526" t="str">
        <f t="shared" si="31"/>
        <v>Sentencias y Conciliaciones URA</v>
      </c>
      <c r="BV17" s="527">
        <f t="shared" si="13"/>
        <v>1750000000</v>
      </c>
      <c r="BW17" s="524"/>
      <c r="BX17" s="524"/>
      <c r="BY17" s="524"/>
      <c r="BZ17" s="524"/>
      <c r="CA17" s="524"/>
      <c r="CB17" s="524"/>
      <c r="CC17" s="524"/>
    </row>
    <row r="18" spans="1:81" s="457" customFormat="1" ht="51" x14ac:dyDescent="0.25">
      <c r="A18" s="513">
        <v>11300</v>
      </c>
      <c r="B18" s="514" t="s">
        <v>4</v>
      </c>
      <c r="C18" s="515" t="s">
        <v>160</v>
      </c>
      <c r="D18" s="514" t="s">
        <v>145</v>
      </c>
      <c r="E18" s="515" t="s">
        <v>161</v>
      </c>
      <c r="F18" s="514" t="s">
        <v>162</v>
      </c>
      <c r="G18" s="516" t="s">
        <v>123</v>
      </c>
      <c r="H18" s="517">
        <v>1</v>
      </c>
      <c r="I18" s="515" t="s">
        <v>298</v>
      </c>
      <c r="J18" s="514" t="s">
        <v>163</v>
      </c>
      <c r="K18" s="518">
        <v>12016226455000</v>
      </c>
      <c r="L18" s="554">
        <v>0.28123295664530629</v>
      </c>
      <c r="M18" s="514" t="s">
        <v>46</v>
      </c>
      <c r="N18" s="514" t="s">
        <v>68</v>
      </c>
      <c r="O18" s="514" t="s">
        <v>21</v>
      </c>
      <c r="P18" s="514" t="s">
        <v>36</v>
      </c>
      <c r="Q18" s="514" t="s">
        <v>213</v>
      </c>
      <c r="R18" s="514" t="s">
        <v>182</v>
      </c>
      <c r="S18" s="514" t="s">
        <v>99</v>
      </c>
      <c r="T18" s="519">
        <v>1</v>
      </c>
      <c r="U18" s="520" t="str">
        <f t="shared" si="16"/>
        <v>Financiación UPC Régimen Contributivo SSF</v>
      </c>
      <c r="V18" s="521">
        <f t="shared" si="17"/>
        <v>12016226455000</v>
      </c>
      <c r="W18" s="522" t="s">
        <v>116</v>
      </c>
      <c r="X18" s="517">
        <v>0.25</v>
      </c>
      <c r="Y18" s="522" t="s">
        <v>163</v>
      </c>
      <c r="Z18" s="518">
        <v>3004056613750</v>
      </c>
      <c r="AA18" s="606">
        <f>+(AB18/Z18)*X18</f>
        <v>0.21990997899772854</v>
      </c>
      <c r="AB18" s="518">
        <v>2642488107351</v>
      </c>
      <c r="AC18" s="523">
        <f t="shared" si="18"/>
        <v>0.87963991599091418</v>
      </c>
      <c r="AD18" s="523">
        <f t="shared" si="19"/>
        <v>0.87963991599091418</v>
      </c>
      <c r="AE18" s="523">
        <f t="shared" si="14"/>
        <v>0.21990997899772854</v>
      </c>
      <c r="AF18" s="523">
        <f t="shared" si="0"/>
        <v>0.21990997899772854</v>
      </c>
      <c r="AG18" s="528"/>
      <c r="AH18" s="517">
        <v>0.25</v>
      </c>
      <c r="AI18" s="522" t="s">
        <v>163</v>
      </c>
      <c r="AJ18" s="518">
        <v>3004056613750</v>
      </c>
      <c r="AK18" s="524"/>
      <c r="AL18" s="524"/>
      <c r="AM18" s="523">
        <f t="shared" si="20"/>
        <v>0</v>
      </c>
      <c r="AN18" s="523">
        <f t="shared" si="1"/>
        <v>0</v>
      </c>
      <c r="AO18" s="523">
        <f t="shared" si="2"/>
        <v>0.21990997899772854</v>
      </c>
      <c r="AP18" s="523">
        <f t="shared" si="3"/>
        <v>0.21990997899772854</v>
      </c>
      <c r="AQ18" s="523"/>
      <c r="AR18" s="517">
        <v>0.25</v>
      </c>
      <c r="AS18" s="522" t="s">
        <v>163</v>
      </c>
      <c r="AT18" s="518">
        <v>3004056613750</v>
      </c>
      <c r="AU18" s="524"/>
      <c r="AV18" s="524"/>
      <c r="AW18" s="523">
        <f t="shared" si="21"/>
        <v>0</v>
      </c>
      <c r="AX18" s="523">
        <f t="shared" si="22"/>
        <v>0</v>
      </c>
      <c r="AY18" s="523">
        <f t="shared" si="23"/>
        <v>0.21990997899772854</v>
      </c>
      <c r="AZ18" s="523">
        <f t="shared" si="24"/>
        <v>0.21990997899772854</v>
      </c>
      <c r="BA18" s="523"/>
      <c r="BB18" s="517">
        <v>0.25</v>
      </c>
      <c r="BC18" s="522" t="s">
        <v>163</v>
      </c>
      <c r="BD18" s="518">
        <v>3004056613750</v>
      </c>
      <c r="BE18" s="524"/>
      <c r="BF18" s="524"/>
      <c r="BG18" s="517">
        <f t="shared" si="25"/>
        <v>0</v>
      </c>
      <c r="BH18" s="517">
        <f t="shared" si="26"/>
        <v>0</v>
      </c>
      <c r="BI18" s="517">
        <f t="shared" si="27"/>
        <v>0.21990997899772854</v>
      </c>
      <c r="BJ18" s="517">
        <f t="shared" si="28"/>
        <v>0.21990997899772854</v>
      </c>
      <c r="BK18" s="517"/>
      <c r="BL18" s="580">
        <f t="shared" si="6"/>
        <v>0.87963991599091418</v>
      </c>
      <c r="BM18" s="580">
        <f t="shared" si="7"/>
        <v>0.87963991599091418</v>
      </c>
      <c r="BN18" s="580">
        <f t="shared" si="8"/>
        <v>0</v>
      </c>
      <c r="BO18" s="580">
        <f t="shared" si="9"/>
        <v>0</v>
      </c>
      <c r="BP18" s="580">
        <f t="shared" si="29"/>
        <v>0</v>
      </c>
      <c r="BQ18" s="580">
        <f t="shared" si="30"/>
        <v>0</v>
      </c>
      <c r="BR18" s="580">
        <f t="shared" si="10"/>
        <v>0</v>
      </c>
      <c r="BS18" s="580">
        <f t="shared" si="11"/>
        <v>0</v>
      </c>
      <c r="BT18" s="525">
        <f t="shared" si="15"/>
        <v>0.58333333333333337</v>
      </c>
      <c r="BU18" s="526" t="str">
        <f t="shared" si="31"/>
        <v>Financiación UPC Régimen Contributivo SSF</v>
      </c>
      <c r="BV18" s="527">
        <f t="shared" si="13"/>
        <v>7009465432083.333</v>
      </c>
      <c r="BW18" s="524"/>
      <c r="BX18" s="524"/>
      <c r="BY18" s="524"/>
      <c r="BZ18" s="524"/>
      <c r="CA18" s="524"/>
      <c r="CB18" s="524"/>
      <c r="CC18" s="524"/>
    </row>
    <row r="19" spans="1:81" s="457" customFormat="1" ht="63.75" x14ac:dyDescent="0.25">
      <c r="A19" s="513">
        <v>11300</v>
      </c>
      <c r="B19" s="514" t="s">
        <v>4</v>
      </c>
      <c r="C19" s="515" t="s">
        <v>160</v>
      </c>
      <c r="D19" s="514" t="s">
        <v>145</v>
      </c>
      <c r="E19" s="515" t="s">
        <v>161</v>
      </c>
      <c r="F19" s="514" t="s">
        <v>162</v>
      </c>
      <c r="G19" s="516" t="s">
        <v>123</v>
      </c>
      <c r="H19" s="517">
        <v>1</v>
      </c>
      <c r="I19" s="515" t="s">
        <v>299</v>
      </c>
      <c r="J19" s="514" t="s">
        <v>164</v>
      </c>
      <c r="K19" s="518">
        <v>8636554371500</v>
      </c>
      <c r="L19" s="554">
        <v>0.2116420563955087</v>
      </c>
      <c r="M19" s="514" t="s">
        <v>46</v>
      </c>
      <c r="N19" s="514" t="s">
        <v>68</v>
      </c>
      <c r="O19" s="514" t="s">
        <v>21</v>
      </c>
      <c r="P19" s="514" t="s">
        <v>36</v>
      </c>
      <c r="Q19" s="514" t="s">
        <v>213</v>
      </c>
      <c r="R19" s="514" t="s">
        <v>182</v>
      </c>
      <c r="S19" s="514" t="s">
        <v>99</v>
      </c>
      <c r="T19" s="519">
        <v>1</v>
      </c>
      <c r="U19" s="520" t="str">
        <f t="shared" si="16"/>
        <v>Financiación UPC Régimen Contributivo CSF</v>
      </c>
      <c r="V19" s="521">
        <f t="shared" si="17"/>
        <v>8636554371500</v>
      </c>
      <c r="W19" s="522" t="s">
        <v>116</v>
      </c>
      <c r="X19" s="517">
        <v>0.25</v>
      </c>
      <c r="Y19" s="522" t="s">
        <v>164</v>
      </c>
      <c r="Z19" s="518">
        <v>2260704886250</v>
      </c>
      <c r="AA19" s="606">
        <f t="shared" ref="AA19:AA35" si="32">+(AB19/Z19)*X19</f>
        <v>0.25406609209837994</v>
      </c>
      <c r="AB19" s="518">
        <v>2297473823349</v>
      </c>
      <c r="AC19" s="523">
        <f t="shared" si="18"/>
        <v>1.0162643683935197</v>
      </c>
      <c r="AD19" s="523">
        <f t="shared" si="19"/>
        <v>1.0162643683935197</v>
      </c>
      <c r="AE19" s="523">
        <f t="shared" si="14"/>
        <v>0.25406609209837994</v>
      </c>
      <c r="AF19" s="523">
        <f t="shared" si="0"/>
        <v>0.26601740978213445</v>
      </c>
      <c r="AG19" s="528" t="s">
        <v>995</v>
      </c>
      <c r="AH19" s="517">
        <v>0.25</v>
      </c>
      <c r="AI19" s="522" t="s">
        <v>164</v>
      </c>
      <c r="AJ19" s="518">
        <v>2260704886250</v>
      </c>
      <c r="AK19" s="524"/>
      <c r="AL19" s="524"/>
      <c r="AM19" s="523">
        <f t="shared" si="20"/>
        <v>0</v>
      </c>
      <c r="AN19" s="523">
        <f t="shared" si="1"/>
        <v>0</v>
      </c>
      <c r="AO19" s="523">
        <f t="shared" si="2"/>
        <v>0.25406609209837994</v>
      </c>
      <c r="AP19" s="523">
        <f t="shared" si="3"/>
        <v>0.26601740978213445</v>
      </c>
      <c r="AQ19" s="523"/>
      <c r="AR19" s="517">
        <v>0.25</v>
      </c>
      <c r="AS19" s="522" t="s">
        <v>164</v>
      </c>
      <c r="AT19" s="518">
        <v>2260704886250</v>
      </c>
      <c r="AU19" s="524"/>
      <c r="AV19" s="524"/>
      <c r="AW19" s="523">
        <f t="shared" si="21"/>
        <v>0</v>
      </c>
      <c r="AX19" s="523">
        <f t="shared" si="22"/>
        <v>0</v>
      </c>
      <c r="AY19" s="523">
        <f t="shared" si="23"/>
        <v>0.25406609209837994</v>
      </c>
      <c r="AZ19" s="523">
        <f t="shared" si="24"/>
        <v>0.26601740978213445</v>
      </c>
      <c r="BA19" s="523"/>
      <c r="BB19" s="517">
        <v>0.25</v>
      </c>
      <c r="BC19" s="522" t="s">
        <v>164</v>
      </c>
      <c r="BD19" s="518">
        <v>2260704886250</v>
      </c>
      <c r="BE19" s="524"/>
      <c r="BF19" s="524"/>
      <c r="BG19" s="517">
        <f t="shared" si="25"/>
        <v>0</v>
      </c>
      <c r="BH19" s="517">
        <f t="shared" si="26"/>
        <v>0</v>
      </c>
      <c r="BI19" s="517">
        <f t="shared" si="27"/>
        <v>0.25406609209837994</v>
      </c>
      <c r="BJ19" s="517">
        <f t="shared" si="28"/>
        <v>0.26601740978213445</v>
      </c>
      <c r="BK19" s="517"/>
      <c r="BL19" s="580">
        <f t="shared" si="6"/>
        <v>1.0162643683935197</v>
      </c>
      <c r="BM19" s="580">
        <f t="shared" si="7"/>
        <v>1.0162643683935197</v>
      </c>
      <c r="BN19" s="580">
        <f t="shared" si="8"/>
        <v>0</v>
      </c>
      <c r="BO19" s="580">
        <f t="shared" si="9"/>
        <v>0</v>
      </c>
      <c r="BP19" s="580">
        <f t="shared" si="29"/>
        <v>0</v>
      </c>
      <c r="BQ19" s="580">
        <f t="shared" si="30"/>
        <v>0</v>
      </c>
      <c r="BR19" s="580">
        <f t="shared" si="10"/>
        <v>0</v>
      </c>
      <c r="BS19" s="580">
        <f t="shared" si="11"/>
        <v>0</v>
      </c>
      <c r="BT19" s="525">
        <f t="shared" si="15"/>
        <v>0.58333333333333337</v>
      </c>
      <c r="BU19" s="526" t="str">
        <f t="shared" si="31"/>
        <v>Financiación UPC Régimen Contributivo CSF</v>
      </c>
      <c r="BV19" s="527">
        <f t="shared" si="13"/>
        <v>5274978067916.667</v>
      </c>
      <c r="BW19" s="524"/>
      <c r="BX19" s="524"/>
      <c r="BY19" s="524"/>
      <c r="BZ19" s="524"/>
      <c r="CA19" s="524"/>
      <c r="CB19" s="524"/>
      <c r="CC19" s="524"/>
    </row>
    <row r="20" spans="1:81" s="457" customFormat="1" ht="51" x14ac:dyDescent="0.25">
      <c r="A20" s="513">
        <v>11300</v>
      </c>
      <c r="B20" s="514" t="s">
        <v>4</v>
      </c>
      <c r="C20" s="515" t="s">
        <v>160</v>
      </c>
      <c r="D20" s="514" t="s">
        <v>145</v>
      </c>
      <c r="E20" s="515" t="s">
        <v>161</v>
      </c>
      <c r="F20" s="514" t="s">
        <v>162</v>
      </c>
      <c r="G20" s="516" t="s">
        <v>123</v>
      </c>
      <c r="H20" s="517">
        <v>1</v>
      </c>
      <c r="I20" s="515" t="s">
        <v>300</v>
      </c>
      <c r="J20" s="514" t="s">
        <v>173</v>
      </c>
      <c r="K20" s="518">
        <v>80000000000</v>
      </c>
      <c r="L20" s="554">
        <v>1.8723545712025702E-3</v>
      </c>
      <c r="M20" s="514" t="s">
        <v>46</v>
      </c>
      <c r="N20" s="514" t="s">
        <v>68</v>
      </c>
      <c r="O20" s="514" t="s">
        <v>21</v>
      </c>
      <c r="P20" s="514" t="s">
        <v>36</v>
      </c>
      <c r="Q20" s="514" t="s">
        <v>213</v>
      </c>
      <c r="R20" s="514" t="s">
        <v>182</v>
      </c>
      <c r="S20" s="514" t="s">
        <v>99</v>
      </c>
      <c r="T20" s="519">
        <v>1</v>
      </c>
      <c r="U20" s="520" t="str">
        <f t="shared" si="16"/>
        <v>Devolución de Aportes y Cotizaciones no conciliadas de vigencias anteriores</v>
      </c>
      <c r="V20" s="521">
        <f t="shared" si="17"/>
        <v>80000000000</v>
      </c>
      <c r="W20" s="522" t="s">
        <v>116</v>
      </c>
      <c r="X20" s="517">
        <v>0.25</v>
      </c>
      <c r="Y20" s="522" t="s">
        <v>173</v>
      </c>
      <c r="Z20" s="518">
        <v>20000000000</v>
      </c>
      <c r="AA20" s="606">
        <f>+(AB20/Z20)*X20</f>
        <v>1.2711216975E-2</v>
      </c>
      <c r="AB20" s="518">
        <v>1016897358</v>
      </c>
      <c r="AC20" s="523">
        <f t="shared" si="18"/>
        <v>5.08448679E-2</v>
      </c>
      <c r="AD20" s="523">
        <f t="shared" si="19"/>
        <v>5.08448679E-2</v>
      </c>
      <c r="AE20" s="523">
        <f t="shared" si="14"/>
        <v>1.2711216975E-2</v>
      </c>
      <c r="AF20" s="523">
        <f t="shared" si="0"/>
        <v>1.2711216975E-2</v>
      </c>
      <c r="AG20" s="528"/>
      <c r="AH20" s="517">
        <v>0.25</v>
      </c>
      <c r="AI20" s="522" t="s">
        <v>173</v>
      </c>
      <c r="AJ20" s="518">
        <v>20000000000</v>
      </c>
      <c r="AK20" s="524"/>
      <c r="AL20" s="524"/>
      <c r="AM20" s="523">
        <f t="shared" si="20"/>
        <v>0</v>
      </c>
      <c r="AN20" s="523">
        <f t="shared" si="1"/>
        <v>0</v>
      </c>
      <c r="AO20" s="523">
        <f t="shared" si="2"/>
        <v>1.2711216975E-2</v>
      </c>
      <c r="AP20" s="523">
        <f t="shared" si="3"/>
        <v>1.2711216975E-2</v>
      </c>
      <c r="AQ20" s="523"/>
      <c r="AR20" s="517">
        <v>0.25</v>
      </c>
      <c r="AS20" s="522" t="s">
        <v>173</v>
      </c>
      <c r="AT20" s="518">
        <v>20000000000</v>
      </c>
      <c r="AU20" s="524"/>
      <c r="AV20" s="524"/>
      <c r="AW20" s="523">
        <f t="shared" si="21"/>
        <v>0</v>
      </c>
      <c r="AX20" s="523">
        <f t="shared" si="22"/>
        <v>0</v>
      </c>
      <c r="AY20" s="523">
        <f t="shared" si="23"/>
        <v>1.2711216975E-2</v>
      </c>
      <c r="AZ20" s="523">
        <f t="shared" si="24"/>
        <v>1.2711216975E-2</v>
      </c>
      <c r="BA20" s="523"/>
      <c r="BB20" s="517">
        <v>0.25</v>
      </c>
      <c r="BC20" s="522" t="s">
        <v>173</v>
      </c>
      <c r="BD20" s="518">
        <v>20000000000</v>
      </c>
      <c r="BE20" s="524"/>
      <c r="BF20" s="524"/>
      <c r="BG20" s="517">
        <f t="shared" si="25"/>
        <v>0</v>
      </c>
      <c r="BH20" s="517">
        <f t="shared" si="26"/>
        <v>0</v>
      </c>
      <c r="BI20" s="517">
        <f t="shared" si="27"/>
        <v>1.2711216975E-2</v>
      </c>
      <c r="BJ20" s="517">
        <f t="shared" si="28"/>
        <v>1.2711216975E-2</v>
      </c>
      <c r="BK20" s="517"/>
      <c r="BL20" s="580">
        <f t="shared" si="6"/>
        <v>5.08448679E-2</v>
      </c>
      <c r="BM20" s="580">
        <f t="shared" si="7"/>
        <v>5.08448679E-2</v>
      </c>
      <c r="BN20" s="580">
        <f t="shared" si="8"/>
        <v>0</v>
      </c>
      <c r="BO20" s="580">
        <f t="shared" si="9"/>
        <v>0</v>
      </c>
      <c r="BP20" s="580">
        <f t="shared" si="29"/>
        <v>0</v>
      </c>
      <c r="BQ20" s="580">
        <f t="shared" si="30"/>
        <v>0</v>
      </c>
      <c r="BR20" s="580">
        <f t="shared" si="10"/>
        <v>0</v>
      </c>
      <c r="BS20" s="580">
        <f t="shared" si="11"/>
        <v>0</v>
      </c>
      <c r="BT20" s="525">
        <f t="shared" si="15"/>
        <v>0.58333333333333337</v>
      </c>
      <c r="BU20" s="526" t="str">
        <f t="shared" si="31"/>
        <v>Devolución de Aportes y Cotizaciones no conciliadas de vigencias anteriores</v>
      </c>
      <c r="BV20" s="527">
        <f t="shared" si="13"/>
        <v>46666666666.666664</v>
      </c>
      <c r="BW20" s="524"/>
      <c r="BX20" s="524"/>
      <c r="BY20" s="524"/>
      <c r="BZ20" s="524"/>
      <c r="CA20" s="524"/>
      <c r="CB20" s="524"/>
      <c r="CC20" s="524"/>
    </row>
    <row r="21" spans="1:81" s="457" customFormat="1" ht="51" x14ac:dyDescent="0.25">
      <c r="A21" s="513">
        <v>11300</v>
      </c>
      <c r="B21" s="514" t="s">
        <v>4</v>
      </c>
      <c r="C21" s="515" t="s">
        <v>160</v>
      </c>
      <c r="D21" s="514" t="s">
        <v>145</v>
      </c>
      <c r="E21" s="515" t="s">
        <v>161</v>
      </c>
      <c r="F21" s="514" t="s">
        <v>162</v>
      </c>
      <c r="G21" s="516" t="s">
        <v>123</v>
      </c>
      <c r="H21" s="517">
        <v>1</v>
      </c>
      <c r="I21" s="515" t="s">
        <v>301</v>
      </c>
      <c r="J21" s="514" t="s">
        <v>174</v>
      </c>
      <c r="K21" s="518">
        <v>7000000000</v>
      </c>
      <c r="L21" s="554">
        <v>1.6383102498022489E-4</v>
      </c>
      <c r="M21" s="514" t="s">
        <v>46</v>
      </c>
      <c r="N21" s="514" t="s">
        <v>68</v>
      </c>
      <c r="O21" s="514" t="s">
        <v>21</v>
      </c>
      <c r="P21" s="514" t="s">
        <v>36</v>
      </c>
      <c r="Q21" s="514" t="s">
        <v>213</v>
      </c>
      <c r="R21" s="514" t="s">
        <v>182</v>
      </c>
      <c r="S21" s="514" t="s">
        <v>99</v>
      </c>
      <c r="T21" s="519">
        <v>1</v>
      </c>
      <c r="U21" s="520" t="str">
        <f t="shared" si="16"/>
        <v>Rendimientos Financieros saldo de Aportes Patronales no compensados - Art, 12 Decreto 1363 de 2016</v>
      </c>
      <c r="V21" s="521">
        <f t="shared" si="17"/>
        <v>7000000000</v>
      </c>
      <c r="W21" s="522" t="s">
        <v>116</v>
      </c>
      <c r="X21" s="517">
        <v>0.25</v>
      </c>
      <c r="Y21" s="522" t="s">
        <v>174</v>
      </c>
      <c r="Z21" s="518">
        <v>1750000000</v>
      </c>
      <c r="AA21" s="606">
        <f t="shared" si="32"/>
        <v>0</v>
      </c>
      <c r="AB21" s="518">
        <v>0</v>
      </c>
      <c r="AC21" s="523">
        <f t="shared" si="18"/>
        <v>0</v>
      </c>
      <c r="AD21" s="523">
        <f t="shared" si="19"/>
        <v>0</v>
      </c>
      <c r="AE21" s="523">
        <f t="shared" si="14"/>
        <v>0</v>
      </c>
      <c r="AF21" s="523">
        <f t="shared" si="0"/>
        <v>0</v>
      </c>
      <c r="AG21" s="528"/>
      <c r="AH21" s="517">
        <v>0.25</v>
      </c>
      <c r="AI21" s="522" t="s">
        <v>174</v>
      </c>
      <c r="AJ21" s="518">
        <v>1750000000</v>
      </c>
      <c r="AK21" s="524"/>
      <c r="AL21" s="524"/>
      <c r="AM21" s="523">
        <f t="shared" si="20"/>
        <v>0</v>
      </c>
      <c r="AN21" s="523">
        <f t="shared" si="1"/>
        <v>0</v>
      </c>
      <c r="AO21" s="523">
        <f t="shared" si="2"/>
        <v>0</v>
      </c>
      <c r="AP21" s="523">
        <f t="shared" si="3"/>
        <v>0</v>
      </c>
      <c r="AQ21" s="523"/>
      <c r="AR21" s="517">
        <v>0.25</v>
      </c>
      <c r="AS21" s="522" t="s">
        <v>174</v>
      </c>
      <c r="AT21" s="518">
        <v>1750000000</v>
      </c>
      <c r="AU21" s="524"/>
      <c r="AV21" s="524"/>
      <c r="AW21" s="523">
        <f t="shared" si="21"/>
        <v>0</v>
      </c>
      <c r="AX21" s="523">
        <f t="shared" si="22"/>
        <v>0</v>
      </c>
      <c r="AY21" s="523">
        <f t="shared" si="23"/>
        <v>0</v>
      </c>
      <c r="AZ21" s="523">
        <f t="shared" si="24"/>
        <v>0</v>
      </c>
      <c r="BA21" s="523"/>
      <c r="BB21" s="517">
        <v>0.25</v>
      </c>
      <c r="BC21" s="522" t="s">
        <v>174</v>
      </c>
      <c r="BD21" s="518">
        <v>1750000000</v>
      </c>
      <c r="BE21" s="524"/>
      <c r="BF21" s="524"/>
      <c r="BG21" s="517">
        <f t="shared" si="25"/>
        <v>0</v>
      </c>
      <c r="BH21" s="517">
        <f t="shared" si="26"/>
        <v>0</v>
      </c>
      <c r="BI21" s="517">
        <f t="shared" si="27"/>
        <v>0</v>
      </c>
      <c r="BJ21" s="517">
        <f t="shared" si="28"/>
        <v>0</v>
      </c>
      <c r="BK21" s="517"/>
      <c r="BL21" s="580">
        <f t="shared" si="6"/>
        <v>0</v>
      </c>
      <c r="BM21" s="580">
        <f t="shared" si="7"/>
        <v>0</v>
      </c>
      <c r="BN21" s="580">
        <f t="shared" si="8"/>
        <v>0</v>
      </c>
      <c r="BO21" s="580">
        <f t="shared" si="9"/>
        <v>0</v>
      </c>
      <c r="BP21" s="580">
        <f t="shared" si="29"/>
        <v>0</v>
      </c>
      <c r="BQ21" s="580">
        <f t="shared" si="30"/>
        <v>0</v>
      </c>
      <c r="BR21" s="580">
        <f t="shared" si="10"/>
        <v>0</v>
      </c>
      <c r="BS21" s="580">
        <f t="shared" si="11"/>
        <v>0</v>
      </c>
      <c r="BT21" s="525">
        <f t="shared" si="15"/>
        <v>0.58333333333333337</v>
      </c>
      <c r="BU21" s="526" t="str">
        <f t="shared" si="31"/>
        <v>Rendimientos Financieros saldo de Aportes Patronales no compensados - Art, 12 Decreto 1363 de 2016</v>
      </c>
      <c r="BV21" s="527">
        <f t="shared" si="13"/>
        <v>4083333333.3333335</v>
      </c>
      <c r="BW21" s="524"/>
      <c r="BX21" s="524"/>
      <c r="BY21" s="524"/>
      <c r="BZ21" s="524"/>
      <c r="CA21" s="524"/>
      <c r="CB21" s="524"/>
      <c r="CC21" s="524"/>
    </row>
    <row r="22" spans="1:81" s="457" customFormat="1" ht="51" x14ac:dyDescent="0.25">
      <c r="A22" s="513">
        <v>11300</v>
      </c>
      <c r="B22" s="514" t="s">
        <v>4</v>
      </c>
      <c r="C22" s="515" t="s">
        <v>160</v>
      </c>
      <c r="D22" s="514" t="s">
        <v>145</v>
      </c>
      <c r="E22" s="515" t="s">
        <v>161</v>
      </c>
      <c r="F22" s="514" t="s">
        <v>162</v>
      </c>
      <c r="G22" s="516" t="s">
        <v>123</v>
      </c>
      <c r="H22" s="517">
        <v>1</v>
      </c>
      <c r="I22" s="515" t="s">
        <v>302</v>
      </c>
      <c r="J22" s="514" t="s">
        <v>757</v>
      </c>
      <c r="K22" s="518">
        <v>483767006000</v>
      </c>
      <c r="L22" s="554">
        <v>1.1322292063513515E-2</v>
      </c>
      <c r="M22" s="514" t="s">
        <v>46</v>
      </c>
      <c r="N22" s="514" t="s">
        <v>68</v>
      </c>
      <c r="O22" s="514" t="s">
        <v>21</v>
      </c>
      <c r="P22" s="514" t="s">
        <v>36</v>
      </c>
      <c r="Q22" s="514" t="s">
        <v>213</v>
      </c>
      <c r="R22" s="514" t="s">
        <v>182</v>
      </c>
      <c r="S22" s="514" t="s">
        <v>99</v>
      </c>
      <c r="T22" s="519">
        <v>1</v>
      </c>
      <c r="U22" s="520" t="str">
        <f t="shared" si="16"/>
        <v>Per cápita Programas de Promoción y Prevención</v>
      </c>
      <c r="V22" s="521">
        <f t="shared" si="17"/>
        <v>483767006000</v>
      </c>
      <c r="W22" s="522" t="s">
        <v>116</v>
      </c>
      <c r="X22" s="517">
        <v>0.25</v>
      </c>
      <c r="Y22" s="522" t="s">
        <v>68</v>
      </c>
      <c r="Z22" s="518">
        <v>120941751500</v>
      </c>
      <c r="AA22" s="606">
        <f t="shared" si="32"/>
        <v>0.24380171399700623</v>
      </c>
      <c r="AB22" s="518">
        <v>117943225238</v>
      </c>
      <c r="AC22" s="523">
        <f t="shared" si="18"/>
        <v>0.97520685598802492</v>
      </c>
      <c r="AD22" s="523">
        <f t="shared" si="19"/>
        <v>0.97520685598802492</v>
      </c>
      <c r="AE22" s="523">
        <f t="shared" si="14"/>
        <v>0.24380171399700623</v>
      </c>
      <c r="AF22" s="523">
        <f t="shared" si="0"/>
        <v>0.24380171399700623</v>
      </c>
      <c r="AG22" s="528"/>
      <c r="AH22" s="517">
        <v>0.25</v>
      </c>
      <c r="AI22" s="522">
        <v>483767006000</v>
      </c>
      <c r="AJ22" s="518">
        <v>120941751500</v>
      </c>
      <c r="AK22" s="524"/>
      <c r="AL22" s="524"/>
      <c r="AM22" s="523">
        <f t="shared" si="20"/>
        <v>0</v>
      </c>
      <c r="AN22" s="523">
        <f t="shared" si="1"/>
        <v>0</v>
      </c>
      <c r="AO22" s="523">
        <f t="shared" si="2"/>
        <v>0.24380171399700623</v>
      </c>
      <c r="AP22" s="523">
        <f t="shared" si="3"/>
        <v>0.24380171399700623</v>
      </c>
      <c r="AQ22" s="523"/>
      <c r="AR22" s="517">
        <v>0.25</v>
      </c>
      <c r="AS22" s="522">
        <v>0</v>
      </c>
      <c r="AT22" s="518">
        <v>120941751500</v>
      </c>
      <c r="AU22" s="524"/>
      <c r="AV22" s="524"/>
      <c r="AW22" s="523">
        <f t="shared" si="21"/>
        <v>0</v>
      </c>
      <c r="AX22" s="523">
        <f t="shared" si="22"/>
        <v>0</v>
      </c>
      <c r="AY22" s="523">
        <f t="shared" si="23"/>
        <v>0.24380171399700623</v>
      </c>
      <c r="AZ22" s="523">
        <f t="shared" si="24"/>
        <v>0.24380171399700623</v>
      </c>
      <c r="BA22" s="523"/>
      <c r="BB22" s="517">
        <v>0.25</v>
      </c>
      <c r="BC22" s="522">
        <v>0</v>
      </c>
      <c r="BD22" s="518">
        <v>120941751500</v>
      </c>
      <c r="BE22" s="524"/>
      <c r="BF22" s="524"/>
      <c r="BG22" s="517">
        <f t="shared" si="25"/>
        <v>0</v>
      </c>
      <c r="BH22" s="517">
        <f t="shared" si="26"/>
        <v>0</v>
      </c>
      <c r="BI22" s="517">
        <f t="shared" si="27"/>
        <v>0.24380171399700623</v>
      </c>
      <c r="BJ22" s="517">
        <f t="shared" si="28"/>
        <v>0.24380171399700623</v>
      </c>
      <c r="BK22" s="517"/>
      <c r="BL22" s="580">
        <f t="shared" si="6"/>
        <v>0.97520685598802492</v>
      </c>
      <c r="BM22" s="580">
        <f t="shared" si="7"/>
        <v>0.97520685598802492</v>
      </c>
      <c r="BN22" s="580">
        <f t="shared" si="8"/>
        <v>0</v>
      </c>
      <c r="BO22" s="580">
        <f t="shared" si="9"/>
        <v>0</v>
      </c>
      <c r="BP22" s="580">
        <f t="shared" si="29"/>
        <v>0</v>
      </c>
      <c r="BQ22" s="580">
        <f t="shared" si="30"/>
        <v>0</v>
      </c>
      <c r="BR22" s="580">
        <f t="shared" si="10"/>
        <v>0</v>
      </c>
      <c r="BS22" s="580">
        <f t="shared" si="11"/>
        <v>0</v>
      </c>
      <c r="BT22" s="525">
        <f t="shared" si="15"/>
        <v>0.58333333333333337</v>
      </c>
      <c r="BU22" s="526" t="str">
        <f t="shared" si="31"/>
        <v>Per cápita Programas de Promoción y Prevención</v>
      </c>
      <c r="BV22" s="527">
        <f t="shared" si="13"/>
        <v>282197420166.66669</v>
      </c>
      <c r="BW22" s="524"/>
      <c r="BX22" s="524"/>
      <c r="BY22" s="524"/>
      <c r="BZ22" s="524"/>
      <c r="CA22" s="524"/>
      <c r="CB22" s="524"/>
      <c r="CC22" s="524"/>
    </row>
    <row r="23" spans="1:81" s="457" customFormat="1" ht="51" x14ac:dyDescent="0.25">
      <c r="A23" s="513">
        <v>11300</v>
      </c>
      <c r="B23" s="514" t="s">
        <v>4</v>
      </c>
      <c r="C23" s="515" t="s">
        <v>160</v>
      </c>
      <c r="D23" s="514" t="s">
        <v>145</v>
      </c>
      <c r="E23" s="515" t="s">
        <v>161</v>
      </c>
      <c r="F23" s="514" t="s">
        <v>162</v>
      </c>
      <c r="G23" s="516" t="s">
        <v>123</v>
      </c>
      <c r="H23" s="517">
        <v>1</v>
      </c>
      <c r="I23" s="515" t="s">
        <v>303</v>
      </c>
      <c r="J23" s="514" t="s">
        <v>168</v>
      </c>
      <c r="K23" s="518">
        <v>799680177000</v>
      </c>
      <c r="L23" s="554">
        <v>1.8716060436325382E-2</v>
      </c>
      <c r="M23" s="514" t="s">
        <v>46</v>
      </c>
      <c r="N23" s="514" t="s">
        <v>68</v>
      </c>
      <c r="O23" s="514" t="s">
        <v>21</v>
      </c>
      <c r="P23" s="514" t="s">
        <v>36</v>
      </c>
      <c r="Q23" s="514" t="s">
        <v>213</v>
      </c>
      <c r="R23" s="514" t="s">
        <v>182</v>
      </c>
      <c r="S23" s="514" t="s">
        <v>99</v>
      </c>
      <c r="T23" s="519">
        <v>1</v>
      </c>
      <c r="U23" s="520" t="str">
        <f t="shared" si="16"/>
        <v>Incapacidades</v>
      </c>
      <c r="V23" s="521">
        <f t="shared" si="17"/>
        <v>799680177000</v>
      </c>
      <c r="W23" s="522" t="s">
        <v>116</v>
      </c>
      <c r="X23" s="517">
        <v>0.25</v>
      </c>
      <c r="Y23" s="522" t="s">
        <v>168</v>
      </c>
      <c r="Z23" s="518">
        <v>199920044250</v>
      </c>
      <c r="AA23" s="606">
        <f t="shared" si="32"/>
        <v>0.25892237729684275</v>
      </c>
      <c r="AB23" s="518">
        <v>207055092506</v>
      </c>
      <c r="AC23" s="523">
        <f t="shared" si="18"/>
        <v>1.035689509187371</v>
      </c>
      <c r="AD23" s="523">
        <f t="shared" si="19"/>
        <v>1.035689509187371</v>
      </c>
      <c r="AE23" s="523">
        <f t="shared" si="14"/>
        <v>0.25892237729684275</v>
      </c>
      <c r="AF23" s="523">
        <f t="shared" si="0"/>
        <v>0.25892237729684275</v>
      </c>
      <c r="AG23" s="528"/>
      <c r="AH23" s="517">
        <v>0.25</v>
      </c>
      <c r="AI23" s="522" t="s">
        <v>168</v>
      </c>
      <c r="AJ23" s="518">
        <v>199920044250</v>
      </c>
      <c r="AK23" s="524"/>
      <c r="AL23" s="524"/>
      <c r="AM23" s="523">
        <f t="shared" si="20"/>
        <v>0</v>
      </c>
      <c r="AN23" s="523">
        <f t="shared" si="1"/>
        <v>0</v>
      </c>
      <c r="AO23" s="523">
        <f t="shared" si="2"/>
        <v>0.25892237729684275</v>
      </c>
      <c r="AP23" s="523">
        <f t="shared" si="3"/>
        <v>0.25892237729684275</v>
      </c>
      <c r="AQ23" s="523"/>
      <c r="AR23" s="517">
        <v>0.25</v>
      </c>
      <c r="AS23" s="522" t="s">
        <v>168</v>
      </c>
      <c r="AT23" s="518">
        <v>199920044250</v>
      </c>
      <c r="AU23" s="524"/>
      <c r="AV23" s="524"/>
      <c r="AW23" s="523">
        <f t="shared" si="21"/>
        <v>0</v>
      </c>
      <c r="AX23" s="523">
        <f t="shared" si="22"/>
        <v>0</v>
      </c>
      <c r="AY23" s="523">
        <f t="shared" si="23"/>
        <v>0.25892237729684275</v>
      </c>
      <c r="AZ23" s="523">
        <f t="shared" si="24"/>
        <v>0.25892237729684275</v>
      </c>
      <c r="BA23" s="523"/>
      <c r="BB23" s="517">
        <v>0.25</v>
      </c>
      <c r="BC23" s="522" t="s">
        <v>168</v>
      </c>
      <c r="BD23" s="518">
        <v>199920044250</v>
      </c>
      <c r="BE23" s="524"/>
      <c r="BF23" s="524"/>
      <c r="BG23" s="517">
        <f t="shared" si="25"/>
        <v>0</v>
      </c>
      <c r="BH23" s="517">
        <f t="shared" si="26"/>
        <v>0</v>
      </c>
      <c r="BI23" s="517">
        <f t="shared" si="27"/>
        <v>0.25892237729684275</v>
      </c>
      <c r="BJ23" s="517">
        <f t="shared" si="28"/>
        <v>0.25892237729684275</v>
      </c>
      <c r="BK23" s="517"/>
      <c r="BL23" s="580">
        <f t="shared" si="6"/>
        <v>1.035689509187371</v>
      </c>
      <c r="BM23" s="580">
        <f t="shared" si="7"/>
        <v>1.035689509187371</v>
      </c>
      <c r="BN23" s="580">
        <f t="shared" si="8"/>
        <v>0</v>
      </c>
      <c r="BO23" s="580">
        <f t="shared" si="9"/>
        <v>0</v>
      </c>
      <c r="BP23" s="580">
        <f t="shared" si="29"/>
        <v>0</v>
      </c>
      <c r="BQ23" s="580">
        <f t="shared" si="30"/>
        <v>0</v>
      </c>
      <c r="BR23" s="580">
        <f t="shared" si="10"/>
        <v>0</v>
      </c>
      <c r="BS23" s="580">
        <f t="shared" si="11"/>
        <v>0</v>
      </c>
      <c r="BT23" s="525">
        <f t="shared" si="15"/>
        <v>0.58333333333333337</v>
      </c>
      <c r="BU23" s="526" t="str">
        <f t="shared" si="31"/>
        <v>Incapacidades</v>
      </c>
      <c r="BV23" s="527">
        <f t="shared" si="13"/>
        <v>466480103250</v>
      </c>
      <c r="BW23" s="524"/>
      <c r="BX23" s="524"/>
      <c r="BY23" s="524"/>
      <c r="BZ23" s="524"/>
      <c r="CA23" s="524"/>
      <c r="CB23" s="524"/>
      <c r="CC23" s="524"/>
    </row>
    <row r="24" spans="1:81" s="457" customFormat="1" ht="51" x14ac:dyDescent="0.25">
      <c r="A24" s="513">
        <v>11300</v>
      </c>
      <c r="B24" s="514" t="s">
        <v>4</v>
      </c>
      <c r="C24" s="515" t="s">
        <v>160</v>
      </c>
      <c r="D24" s="514" t="s">
        <v>145</v>
      </c>
      <c r="E24" s="515" t="s">
        <v>161</v>
      </c>
      <c r="F24" s="514" t="s">
        <v>162</v>
      </c>
      <c r="G24" s="516" t="s">
        <v>123</v>
      </c>
      <c r="H24" s="517">
        <v>1</v>
      </c>
      <c r="I24" s="515" t="s">
        <v>304</v>
      </c>
      <c r="J24" s="514" t="s">
        <v>169</v>
      </c>
      <c r="K24" s="518">
        <v>720776535000</v>
      </c>
      <c r="L24" s="554">
        <v>1.6869365501534991E-2</v>
      </c>
      <c r="M24" s="514" t="s">
        <v>46</v>
      </c>
      <c r="N24" s="514" t="s">
        <v>68</v>
      </c>
      <c r="O24" s="514" t="s">
        <v>21</v>
      </c>
      <c r="P24" s="514" t="s">
        <v>36</v>
      </c>
      <c r="Q24" s="514" t="s">
        <v>213</v>
      </c>
      <c r="R24" s="514" t="s">
        <v>182</v>
      </c>
      <c r="S24" s="514" t="s">
        <v>99</v>
      </c>
      <c r="T24" s="519">
        <v>1</v>
      </c>
      <c r="U24" s="520" t="str">
        <f t="shared" si="16"/>
        <v>Licencias de Maternidad y Paternidad</v>
      </c>
      <c r="V24" s="521">
        <f t="shared" si="17"/>
        <v>720776535000</v>
      </c>
      <c r="W24" s="522" t="s">
        <v>116</v>
      </c>
      <c r="X24" s="517">
        <v>0.25</v>
      </c>
      <c r="Y24" s="522" t="s">
        <v>169</v>
      </c>
      <c r="Z24" s="518">
        <v>180194133750</v>
      </c>
      <c r="AA24" s="606">
        <f t="shared" si="32"/>
        <v>0.25045429000543146</v>
      </c>
      <c r="AB24" s="518">
        <v>180521575326</v>
      </c>
      <c r="AC24" s="523">
        <f t="shared" si="18"/>
        <v>1.0018171600217258</v>
      </c>
      <c r="AD24" s="523">
        <f t="shared" si="19"/>
        <v>1.0018171600217258</v>
      </c>
      <c r="AE24" s="523">
        <f t="shared" si="14"/>
        <v>0.25045429000543146</v>
      </c>
      <c r="AF24" s="523">
        <f t="shared" si="0"/>
        <v>0.25045429000543146</v>
      </c>
      <c r="AG24" s="528"/>
      <c r="AH24" s="517">
        <v>0.25</v>
      </c>
      <c r="AI24" s="522" t="s">
        <v>169</v>
      </c>
      <c r="AJ24" s="518">
        <v>180194133750</v>
      </c>
      <c r="AK24" s="524"/>
      <c r="AL24" s="524"/>
      <c r="AM24" s="523">
        <f t="shared" si="20"/>
        <v>0</v>
      </c>
      <c r="AN24" s="523">
        <f t="shared" si="1"/>
        <v>0</v>
      </c>
      <c r="AO24" s="523">
        <f t="shared" si="2"/>
        <v>0.25045429000543146</v>
      </c>
      <c r="AP24" s="523">
        <f t="shared" si="3"/>
        <v>0.25045429000543146</v>
      </c>
      <c r="AQ24" s="523"/>
      <c r="AR24" s="517">
        <v>0.25</v>
      </c>
      <c r="AS24" s="522" t="s">
        <v>169</v>
      </c>
      <c r="AT24" s="518">
        <v>180194133750</v>
      </c>
      <c r="AU24" s="524"/>
      <c r="AV24" s="524"/>
      <c r="AW24" s="523">
        <f t="shared" si="21"/>
        <v>0</v>
      </c>
      <c r="AX24" s="523">
        <f t="shared" si="22"/>
        <v>0</v>
      </c>
      <c r="AY24" s="523">
        <f t="shared" si="23"/>
        <v>0.25045429000543146</v>
      </c>
      <c r="AZ24" s="523">
        <f t="shared" si="24"/>
        <v>0.25045429000543146</v>
      </c>
      <c r="BA24" s="523"/>
      <c r="BB24" s="517">
        <v>0.25</v>
      </c>
      <c r="BC24" s="522" t="s">
        <v>169</v>
      </c>
      <c r="BD24" s="518">
        <v>180194133750</v>
      </c>
      <c r="BE24" s="524"/>
      <c r="BF24" s="524"/>
      <c r="BG24" s="517">
        <f t="shared" si="25"/>
        <v>0</v>
      </c>
      <c r="BH24" s="517">
        <f t="shared" si="26"/>
        <v>0</v>
      </c>
      <c r="BI24" s="517">
        <f t="shared" si="27"/>
        <v>0.25045429000543146</v>
      </c>
      <c r="BJ24" s="517">
        <f t="shared" si="28"/>
        <v>0.25045429000543146</v>
      </c>
      <c r="BK24" s="517"/>
      <c r="BL24" s="580">
        <f t="shared" si="6"/>
        <v>1.0018171600217258</v>
      </c>
      <c r="BM24" s="580">
        <f t="shared" si="7"/>
        <v>1.0018171600217258</v>
      </c>
      <c r="BN24" s="580">
        <f t="shared" si="8"/>
        <v>0</v>
      </c>
      <c r="BO24" s="580">
        <f t="shared" si="9"/>
        <v>0</v>
      </c>
      <c r="BP24" s="580">
        <f t="shared" si="29"/>
        <v>0</v>
      </c>
      <c r="BQ24" s="580">
        <f t="shared" si="30"/>
        <v>0</v>
      </c>
      <c r="BR24" s="580">
        <f t="shared" si="10"/>
        <v>0</v>
      </c>
      <c r="BS24" s="580">
        <f t="shared" si="11"/>
        <v>0</v>
      </c>
      <c r="BT24" s="525">
        <f t="shared" si="15"/>
        <v>0.58333333333333337</v>
      </c>
      <c r="BU24" s="526" t="str">
        <f t="shared" si="31"/>
        <v>Licencias de Maternidad y Paternidad</v>
      </c>
      <c r="BV24" s="527">
        <f t="shared" si="13"/>
        <v>420452978750</v>
      </c>
      <c r="BW24" s="524"/>
      <c r="BX24" s="524"/>
      <c r="BY24" s="524"/>
      <c r="BZ24" s="524"/>
      <c r="CA24" s="524"/>
      <c r="CB24" s="524"/>
      <c r="CC24" s="524"/>
    </row>
    <row r="25" spans="1:81" s="457" customFormat="1" ht="51" x14ac:dyDescent="0.25">
      <c r="A25" s="513">
        <v>11300</v>
      </c>
      <c r="B25" s="514" t="s">
        <v>4</v>
      </c>
      <c r="C25" s="515" t="s">
        <v>160</v>
      </c>
      <c r="D25" s="514" t="s">
        <v>145</v>
      </c>
      <c r="E25" s="515" t="s">
        <v>161</v>
      </c>
      <c r="F25" s="514" t="s">
        <v>162</v>
      </c>
      <c r="G25" s="516" t="s">
        <v>123</v>
      </c>
      <c r="H25" s="517">
        <v>1</v>
      </c>
      <c r="I25" s="515" t="s">
        <v>305</v>
      </c>
      <c r="J25" s="514" t="s">
        <v>561</v>
      </c>
      <c r="K25" s="518">
        <v>1500000000</v>
      </c>
      <c r="L25" s="554">
        <v>3.5106648210048191E-5</v>
      </c>
      <c r="M25" s="514" t="s">
        <v>46</v>
      </c>
      <c r="N25" s="514" t="s">
        <v>68</v>
      </c>
      <c r="O25" s="514" t="s">
        <v>21</v>
      </c>
      <c r="P25" s="514" t="s">
        <v>36</v>
      </c>
      <c r="Q25" s="514" t="s">
        <v>213</v>
      </c>
      <c r="R25" s="514" t="s">
        <v>182</v>
      </c>
      <c r="S25" s="514" t="s">
        <v>99</v>
      </c>
      <c r="T25" s="519">
        <v>1</v>
      </c>
      <c r="U25" s="520" t="str">
        <f t="shared" si="16"/>
        <v>Prestaciones Económicas Regímenes Especiales de Excepción</v>
      </c>
      <c r="V25" s="521">
        <f t="shared" si="17"/>
        <v>1500000000</v>
      </c>
      <c r="W25" s="522" t="s">
        <v>116</v>
      </c>
      <c r="X25" s="517">
        <v>0.25</v>
      </c>
      <c r="Y25" s="522" t="s">
        <v>561</v>
      </c>
      <c r="Z25" s="518">
        <v>375000000</v>
      </c>
      <c r="AA25" s="606">
        <f t="shared" si="32"/>
        <v>0.42038601666666664</v>
      </c>
      <c r="AB25" s="518">
        <v>630579025</v>
      </c>
      <c r="AC25" s="523">
        <f t="shared" si="18"/>
        <v>1.6815440666666666</v>
      </c>
      <c r="AD25" s="523">
        <f t="shared" si="19"/>
        <v>1.6815440666666666</v>
      </c>
      <c r="AE25" s="523">
        <f t="shared" si="14"/>
        <v>0.42038601666666664</v>
      </c>
      <c r="AF25" s="523">
        <f t="shared" si="0"/>
        <v>0.42038601666666664</v>
      </c>
      <c r="AG25" s="528"/>
      <c r="AH25" s="517">
        <v>0.25</v>
      </c>
      <c r="AI25" s="522" t="s">
        <v>561</v>
      </c>
      <c r="AJ25" s="518">
        <v>375000000</v>
      </c>
      <c r="AK25" s="524"/>
      <c r="AL25" s="524"/>
      <c r="AM25" s="523">
        <f t="shared" si="20"/>
        <v>0</v>
      </c>
      <c r="AN25" s="523">
        <f t="shared" si="1"/>
        <v>0</v>
      </c>
      <c r="AO25" s="523">
        <f t="shared" si="2"/>
        <v>0.42038601666666664</v>
      </c>
      <c r="AP25" s="523">
        <f t="shared" si="3"/>
        <v>0.42038601666666664</v>
      </c>
      <c r="AQ25" s="523"/>
      <c r="AR25" s="517">
        <v>0.25</v>
      </c>
      <c r="AS25" s="522" t="s">
        <v>561</v>
      </c>
      <c r="AT25" s="518">
        <v>375000000</v>
      </c>
      <c r="AU25" s="524"/>
      <c r="AV25" s="524"/>
      <c r="AW25" s="523">
        <f t="shared" si="21"/>
        <v>0</v>
      </c>
      <c r="AX25" s="523">
        <f t="shared" si="22"/>
        <v>0</v>
      </c>
      <c r="AY25" s="523">
        <f t="shared" si="23"/>
        <v>0.42038601666666664</v>
      </c>
      <c r="AZ25" s="523">
        <f t="shared" si="24"/>
        <v>0.42038601666666664</v>
      </c>
      <c r="BA25" s="523"/>
      <c r="BB25" s="517">
        <v>0.25</v>
      </c>
      <c r="BC25" s="522" t="s">
        <v>561</v>
      </c>
      <c r="BD25" s="518">
        <v>375000000</v>
      </c>
      <c r="BE25" s="524"/>
      <c r="BF25" s="524"/>
      <c r="BG25" s="517">
        <f t="shared" si="25"/>
        <v>0</v>
      </c>
      <c r="BH25" s="517">
        <f t="shared" si="26"/>
        <v>0</v>
      </c>
      <c r="BI25" s="517">
        <f t="shared" si="27"/>
        <v>0.42038601666666664</v>
      </c>
      <c r="BJ25" s="517">
        <f t="shared" si="28"/>
        <v>0.42038601666666664</v>
      </c>
      <c r="BK25" s="517"/>
      <c r="BL25" s="580">
        <f t="shared" si="6"/>
        <v>1.6815440666666666</v>
      </c>
      <c r="BM25" s="580">
        <f t="shared" si="7"/>
        <v>1.6815440666666666</v>
      </c>
      <c r="BN25" s="580">
        <f t="shared" si="8"/>
        <v>0</v>
      </c>
      <c r="BO25" s="580">
        <f t="shared" si="9"/>
        <v>0</v>
      </c>
      <c r="BP25" s="580">
        <f t="shared" si="29"/>
        <v>0</v>
      </c>
      <c r="BQ25" s="580">
        <f t="shared" si="30"/>
        <v>0</v>
      </c>
      <c r="BR25" s="580">
        <f t="shared" si="10"/>
        <v>0</v>
      </c>
      <c r="BS25" s="580">
        <f t="shared" si="11"/>
        <v>0</v>
      </c>
      <c r="BT25" s="525">
        <f t="shared" si="15"/>
        <v>0.58333333333333337</v>
      </c>
      <c r="BU25" s="526" t="str">
        <f t="shared" si="31"/>
        <v>Prestaciones Económicas Regímenes Especiales de Excepción</v>
      </c>
      <c r="BV25" s="527">
        <f t="shared" si="13"/>
        <v>875000000</v>
      </c>
      <c r="BW25" s="524"/>
      <c r="BX25" s="524"/>
      <c r="BY25" s="524"/>
      <c r="BZ25" s="524"/>
      <c r="CA25" s="524"/>
      <c r="CB25" s="524"/>
      <c r="CC25" s="524"/>
    </row>
    <row r="26" spans="1:81" s="457" customFormat="1" ht="63.75" x14ac:dyDescent="0.25">
      <c r="A26" s="513">
        <v>11300</v>
      </c>
      <c r="B26" s="514" t="s">
        <v>4</v>
      </c>
      <c r="C26" s="515" t="s">
        <v>160</v>
      </c>
      <c r="D26" s="514" t="s">
        <v>145</v>
      </c>
      <c r="E26" s="515" t="s">
        <v>161</v>
      </c>
      <c r="F26" s="514" t="s">
        <v>162</v>
      </c>
      <c r="G26" s="516" t="s">
        <v>123</v>
      </c>
      <c r="H26" s="517">
        <v>1</v>
      </c>
      <c r="I26" s="515" t="s">
        <v>306</v>
      </c>
      <c r="J26" s="514" t="s">
        <v>170</v>
      </c>
      <c r="K26" s="518">
        <v>18295649030802</v>
      </c>
      <c r="L26" s="554">
        <v>0.43795196233665762</v>
      </c>
      <c r="M26" s="514" t="s">
        <v>46</v>
      </c>
      <c r="N26" s="514" t="s">
        <v>68</v>
      </c>
      <c r="O26" s="514" t="s">
        <v>21</v>
      </c>
      <c r="P26" s="514" t="s">
        <v>36</v>
      </c>
      <c r="Q26" s="514" t="s">
        <v>213</v>
      </c>
      <c r="R26" s="514" t="s">
        <v>182</v>
      </c>
      <c r="S26" s="514" t="s">
        <v>99</v>
      </c>
      <c r="T26" s="519">
        <v>1</v>
      </c>
      <c r="U26" s="520" t="str">
        <f t="shared" si="16"/>
        <v>Financiación UPC Régimen Subsidiado CSF</v>
      </c>
      <c r="V26" s="521">
        <f t="shared" si="17"/>
        <v>18295649030802</v>
      </c>
      <c r="W26" s="522" t="s">
        <v>116</v>
      </c>
      <c r="X26" s="517">
        <v>0.25</v>
      </c>
      <c r="Y26" s="522" t="s">
        <v>170</v>
      </c>
      <c r="Z26" s="518">
        <v>4678087890750</v>
      </c>
      <c r="AA26" s="606">
        <f t="shared" si="32"/>
        <v>0.24873164869078085</v>
      </c>
      <c r="AB26" s="518">
        <v>4654354055146.5</v>
      </c>
      <c r="AC26" s="523">
        <f t="shared" si="18"/>
        <v>0.9949265947631234</v>
      </c>
      <c r="AD26" s="523">
        <f t="shared" si="19"/>
        <v>0.9949265947631234</v>
      </c>
      <c r="AE26" s="523">
        <f t="shared" si="14"/>
        <v>0.24873164869078085</v>
      </c>
      <c r="AF26" s="523">
        <f t="shared" si="0"/>
        <v>0.25439677200358241</v>
      </c>
      <c r="AG26" s="528" t="s">
        <v>995</v>
      </c>
      <c r="AH26" s="517">
        <v>0.25</v>
      </c>
      <c r="AI26" s="522" t="s">
        <v>170</v>
      </c>
      <c r="AJ26" s="518">
        <v>4678087890750</v>
      </c>
      <c r="AK26" s="524"/>
      <c r="AL26" s="524"/>
      <c r="AM26" s="523">
        <f t="shared" si="20"/>
        <v>0</v>
      </c>
      <c r="AN26" s="523">
        <f t="shared" si="1"/>
        <v>0</v>
      </c>
      <c r="AO26" s="523">
        <f t="shared" si="2"/>
        <v>0.24873164869078085</v>
      </c>
      <c r="AP26" s="523">
        <f t="shared" si="3"/>
        <v>0.25439677200358241</v>
      </c>
      <c r="AQ26" s="523"/>
      <c r="AR26" s="517">
        <v>0.25</v>
      </c>
      <c r="AS26" s="522" t="s">
        <v>170</v>
      </c>
      <c r="AT26" s="518">
        <v>4678087890750</v>
      </c>
      <c r="AU26" s="524"/>
      <c r="AV26" s="524"/>
      <c r="AW26" s="523">
        <f t="shared" si="21"/>
        <v>0</v>
      </c>
      <c r="AX26" s="523">
        <f t="shared" si="22"/>
        <v>0</v>
      </c>
      <c r="AY26" s="523">
        <f t="shared" si="23"/>
        <v>0.24873164869078085</v>
      </c>
      <c r="AZ26" s="523">
        <f t="shared" si="24"/>
        <v>0.25439677200358241</v>
      </c>
      <c r="BA26" s="523"/>
      <c r="BB26" s="517">
        <v>0.25</v>
      </c>
      <c r="BC26" s="522" t="s">
        <v>170</v>
      </c>
      <c r="BD26" s="518">
        <v>4678087890750</v>
      </c>
      <c r="BE26" s="524"/>
      <c r="BF26" s="524"/>
      <c r="BG26" s="517">
        <f t="shared" si="25"/>
        <v>0</v>
      </c>
      <c r="BH26" s="517">
        <f t="shared" si="26"/>
        <v>0</v>
      </c>
      <c r="BI26" s="517">
        <f t="shared" si="27"/>
        <v>0.24873164869078085</v>
      </c>
      <c r="BJ26" s="517">
        <f t="shared" si="28"/>
        <v>0.25439677200358241</v>
      </c>
      <c r="BK26" s="517"/>
      <c r="BL26" s="580">
        <f t="shared" si="6"/>
        <v>0.9949265947631234</v>
      </c>
      <c r="BM26" s="580">
        <f t="shared" si="7"/>
        <v>0.9949265947631234</v>
      </c>
      <c r="BN26" s="580">
        <f t="shared" si="8"/>
        <v>0</v>
      </c>
      <c r="BO26" s="580">
        <f t="shared" si="9"/>
        <v>0</v>
      </c>
      <c r="BP26" s="580">
        <f t="shared" si="29"/>
        <v>0</v>
      </c>
      <c r="BQ26" s="580">
        <f t="shared" si="30"/>
        <v>0</v>
      </c>
      <c r="BR26" s="580">
        <f t="shared" si="10"/>
        <v>0</v>
      </c>
      <c r="BS26" s="580">
        <f t="shared" si="11"/>
        <v>0</v>
      </c>
      <c r="BT26" s="525">
        <f t="shared" si="15"/>
        <v>0.58333333333333337</v>
      </c>
      <c r="BU26" s="526" t="str">
        <f t="shared" si="31"/>
        <v>Financiación UPC Régimen Subsidiado CSF</v>
      </c>
      <c r="BV26" s="527">
        <f t="shared" si="13"/>
        <v>10915538411750</v>
      </c>
      <c r="BW26" s="524"/>
      <c r="BX26" s="524"/>
      <c r="BY26" s="524"/>
      <c r="BZ26" s="524"/>
      <c r="CA26" s="524"/>
      <c r="CB26" s="524"/>
      <c r="CC26" s="524"/>
    </row>
    <row r="27" spans="1:81" s="457" customFormat="1" ht="51" x14ac:dyDescent="0.25">
      <c r="A27" s="513">
        <v>11300</v>
      </c>
      <c r="B27" s="514" t="s">
        <v>4</v>
      </c>
      <c r="C27" s="515" t="s">
        <v>160</v>
      </c>
      <c r="D27" s="514" t="s">
        <v>145</v>
      </c>
      <c r="E27" s="515" t="s">
        <v>161</v>
      </c>
      <c r="F27" s="514" t="s">
        <v>162</v>
      </c>
      <c r="G27" s="516" t="s">
        <v>123</v>
      </c>
      <c r="H27" s="517">
        <v>1</v>
      </c>
      <c r="I27" s="515" t="s">
        <v>307</v>
      </c>
      <c r="J27" s="514" t="s">
        <v>171</v>
      </c>
      <c r="K27" s="518">
        <v>26475329000</v>
      </c>
      <c r="L27" s="554">
        <v>6.1964004096552467E-4</v>
      </c>
      <c r="M27" s="514" t="s">
        <v>46</v>
      </c>
      <c r="N27" s="514" t="s">
        <v>68</v>
      </c>
      <c r="O27" s="514" t="s">
        <v>21</v>
      </c>
      <c r="P27" s="514" t="s">
        <v>36</v>
      </c>
      <c r="Q27" s="514" t="s">
        <v>213</v>
      </c>
      <c r="R27" s="514" t="s">
        <v>182</v>
      </c>
      <c r="S27" s="514" t="s">
        <v>99</v>
      </c>
      <c r="T27" s="519">
        <v>1</v>
      </c>
      <c r="U27" s="520" t="str">
        <f t="shared" si="16"/>
        <v>Financiación UPC Régimen Subsidiado - CCF - SSF</v>
      </c>
      <c r="V27" s="521">
        <f t="shared" si="17"/>
        <v>26475329000</v>
      </c>
      <c r="W27" s="522" t="s">
        <v>116</v>
      </c>
      <c r="X27" s="517">
        <v>0.25</v>
      </c>
      <c r="Y27" s="522" t="s">
        <v>171</v>
      </c>
      <c r="Z27" s="518">
        <v>6618832250</v>
      </c>
      <c r="AA27" s="606">
        <f t="shared" si="32"/>
        <v>0.24367466379737907</v>
      </c>
      <c r="AB27" s="518">
        <v>6451366893</v>
      </c>
      <c r="AC27" s="523">
        <f t="shared" si="18"/>
        <v>0.97469865518951626</v>
      </c>
      <c r="AD27" s="523">
        <f t="shared" si="19"/>
        <v>0.97469865518951626</v>
      </c>
      <c r="AE27" s="523">
        <f t="shared" si="14"/>
        <v>0.24367466379737907</v>
      </c>
      <c r="AF27" s="523">
        <f t="shared" si="0"/>
        <v>0.24367466379737907</v>
      </c>
      <c r="AG27" s="528"/>
      <c r="AH27" s="517">
        <v>0.25</v>
      </c>
      <c r="AI27" s="522" t="s">
        <v>171</v>
      </c>
      <c r="AJ27" s="518">
        <v>6618832250</v>
      </c>
      <c r="AK27" s="524"/>
      <c r="AL27" s="524"/>
      <c r="AM27" s="523">
        <f t="shared" si="20"/>
        <v>0</v>
      </c>
      <c r="AN27" s="523">
        <f t="shared" si="1"/>
        <v>0</v>
      </c>
      <c r="AO27" s="523">
        <f t="shared" si="2"/>
        <v>0.24367466379737907</v>
      </c>
      <c r="AP27" s="523">
        <f t="shared" si="3"/>
        <v>0.24367466379737907</v>
      </c>
      <c r="AQ27" s="523"/>
      <c r="AR27" s="517">
        <v>0.25</v>
      </c>
      <c r="AS27" s="522" t="s">
        <v>171</v>
      </c>
      <c r="AT27" s="518">
        <v>6618832250</v>
      </c>
      <c r="AU27" s="524"/>
      <c r="AV27" s="524"/>
      <c r="AW27" s="523">
        <f t="shared" si="21"/>
        <v>0</v>
      </c>
      <c r="AX27" s="523">
        <f t="shared" si="22"/>
        <v>0</v>
      </c>
      <c r="AY27" s="523">
        <f t="shared" si="23"/>
        <v>0.24367466379737907</v>
      </c>
      <c r="AZ27" s="523">
        <f t="shared" si="24"/>
        <v>0.24367466379737907</v>
      </c>
      <c r="BA27" s="523"/>
      <c r="BB27" s="517">
        <v>0.25</v>
      </c>
      <c r="BC27" s="522" t="s">
        <v>171</v>
      </c>
      <c r="BD27" s="518">
        <v>6618832250</v>
      </c>
      <c r="BE27" s="524"/>
      <c r="BF27" s="524"/>
      <c r="BG27" s="517">
        <f t="shared" si="25"/>
        <v>0</v>
      </c>
      <c r="BH27" s="517">
        <f t="shared" si="26"/>
        <v>0</v>
      </c>
      <c r="BI27" s="517">
        <f t="shared" si="27"/>
        <v>0.24367466379737907</v>
      </c>
      <c r="BJ27" s="517">
        <f t="shared" si="28"/>
        <v>0.24367466379737907</v>
      </c>
      <c r="BK27" s="517"/>
      <c r="BL27" s="580">
        <f t="shared" si="6"/>
        <v>0.97469865518951626</v>
      </c>
      <c r="BM27" s="580">
        <f t="shared" si="7"/>
        <v>0.97469865518951626</v>
      </c>
      <c r="BN27" s="580">
        <f t="shared" si="8"/>
        <v>0</v>
      </c>
      <c r="BO27" s="580">
        <f t="shared" si="9"/>
        <v>0</v>
      </c>
      <c r="BP27" s="580">
        <f t="shared" si="29"/>
        <v>0</v>
      </c>
      <c r="BQ27" s="580">
        <f t="shared" si="30"/>
        <v>0</v>
      </c>
      <c r="BR27" s="580">
        <f t="shared" si="10"/>
        <v>0</v>
      </c>
      <c r="BS27" s="580">
        <f t="shared" si="11"/>
        <v>0</v>
      </c>
      <c r="BT27" s="525">
        <f t="shared" si="15"/>
        <v>0.58333333333333337</v>
      </c>
      <c r="BU27" s="526" t="str">
        <f t="shared" si="31"/>
        <v>Financiación UPC Régimen Subsidiado - CCF - SSF</v>
      </c>
      <c r="BV27" s="527">
        <f t="shared" si="13"/>
        <v>15443941916.666666</v>
      </c>
      <c r="BW27" s="524"/>
      <c r="BX27" s="524"/>
      <c r="BY27" s="524"/>
      <c r="BZ27" s="524"/>
      <c r="CA27" s="524"/>
      <c r="CB27" s="524"/>
      <c r="CC27" s="524"/>
    </row>
    <row r="28" spans="1:81" s="457" customFormat="1" ht="63.75" x14ac:dyDescent="0.25">
      <c r="A28" s="513">
        <v>11300</v>
      </c>
      <c r="B28" s="514" t="s">
        <v>4</v>
      </c>
      <c r="C28" s="515" t="s">
        <v>160</v>
      </c>
      <c r="D28" s="514" t="s">
        <v>145</v>
      </c>
      <c r="E28" s="515" t="s">
        <v>161</v>
      </c>
      <c r="F28" s="514" t="s">
        <v>162</v>
      </c>
      <c r="G28" s="516" t="s">
        <v>123</v>
      </c>
      <c r="H28" s="517">
        <v>1</v>
      </c>
      <c r="I28" s="515" t="s">
        <v>308</v>
      </c>
      <c r="J28" s="514" t="s">
        <v>175</v>
      </c>
      <c r="K28" s="518">
        <v>1000000000000</v>
      </c>
      <c r="L28" s="554">
        <v>4.9165875725623717E-3</v>
      </c>
      <c r="M28" s="514" t="s">
        <v>46</v>
      </c>
      <c r="N28" s="514" t="s">
        <v>68</v>
      </c>
      <c r="O28" s="514" t="s">
        <v>21</v>
      </c>
      <c r="P28" s="514" t="s">
        <v>36</v>
      </c>
      <c r="Q28" s="514" t="s">
        <v>213</v>
      </c>
      <c r="R28" s="514" t="s">
        <v>182</v>
      </c>
      <c r="S28" s="514" t="s">
        <v>99</v>
      </c>
      <c r="T28" s="519">
        <v>1</v>
      </c>
      <c r="U28" s="520" t="str">
        <f t="shared" si="16"/>
        <v>Prestaciones Excepcionales - Recobros</v>
      </c>
      <c r="V28" s="521">
        <f t="shared" si="17"/>
        <v>1000000000000</v>
      </c>
      <c r="W28" s="522" t="s">
        <v>116</v>
      </c>
      <c r="X28" s="517">
        <v>0.25</v>
      </c>
      <c r="Y28" s="522" t="s">
        <v>175</v>
      </c>
      <c r="Z28" s="518">
        <v>52517697750</v>
      </c>
      <c r="AA28" s="606">
        <f>+(AB28/Z28)*X28</f>
        <v>2.5419841830139536</v>
      </c>
      <c r="AB28" s="518">
        <v>533996628035.22998</v>
      </c>
      <c r="AC28" s="523">
        <f t="shared" si="18"/>
        <v>10.167936732055814</v>
      </c>
      <c r="AD28" s="523">
        <f>+(AB28/Z28)</f>
        <v>10.167936732055814</v>
      </c>
      <c r="AE28" s="523">
        <f t="shared" si="14"/>
        <v>2.5419841830139536</v>
      </c>
      <c r="AF28" s="523">
        <f t="shared" si="0"/>
        <v>0.53399662803522996</v>
      </c>
      <c r="AG28" s="528" t="s">
        <v>995</v>
      </c>
      <c r="AH28" s="517">
        <v>0.25</v>
      </c>
      <c r="AI28" s="522" t="s">
        <v>175</v>
      </c>
      <c r="AJ28" s="518">
        <v>52517697750</v>
      </c>
      <c r="AK28" s="524"/>
      <c r="AL28" s="524"/>
      <c r="AM28" s="523">
        <f t="shared" si="20"/>
        <v>0</v>
      </c>
      <c r="AN28" s="523">
        <f t="shared" si="1"/>
        <v>0</v>
      </c>
      <c r="AO28" s="523">
        <f t="shared" si="2"/>
        <v>2.5419841830139536</v>
      </c>
      <c r="AP28" s="523">
        <f t="shared" si="3"/>
        <v>0.53399662803522996</v>
      </c>
      <c r="AQ28" s="523"/>
      <c r="AR28" s="517">
        <v>0.25</v>
      </c>
      <c r="AS28" s="522" t="s">
        <v>175</v>
      </c>
      <c r="AT28" s="518">
        <v>52517697750</v>
      </c>
      <c r="AU28" s="524"/>
      <c r="AV28" s="524"/>
      <c r="AW28" s="523">
        <f t="shared" si="21"/>
        <v>0</v>
      </c>
      <c r="AX28" s="523">
        <f t="shared" si="22"/>
        <v>0</v>
      </c>
      <c r="AY28" s="523">
        <f t="shared" si="23"/>
        <v>2.5419841830139536</v>
      </c>
      <c r="AZ28" s="523">
        <f t="shared" si="24"/>
        <v>0.53399662803522996</v>
      </c>
      <c r="BA28" s="523"/>
      <c r="BB28" s="517">
        <v>0.25</v>
      </c>
      <c r="BC28" s="522" t="s">
        <v>175</v>
      </c>
      <c r="BD28" s="518">
        <v>52517697750</v>
      </c>
      <c r="BE28" s="524"/>
      <c r="BF28" s="524"/>
      <c r="BG28" s="517">
        <f t="shared" si="25"/>
        <v>0</v>
      </c>
      <c r="BH28" s="517">
        <f t="shared" si="26"/>
        <v>0</v>
      </c>
      <c r="BI28" s="517">
        <f t="shared" si="27"/>
        <v>2.5419841830139536</v>
      </c>
      <c r="BJ28" s="517">
        <f t="shared" si="28"/>
        <v>0.53399662803522996</v>
      </c>
      <c r="BK28" s="517"/>
      <c r="BL28" s="580">
        <f t="shared" si="6"/>
        <v>10.167936732055814</v>
      </c>
      <c r="BM28" s="580">
        <f t="shared" si="7"/>
        <v>10.167936732055814</v>
      </c>
      <c r="BN28" s="580">
        <f t="shared" si="8"/>
        <v>0</v>
      </c>
      <c r="BO28" s="580">
        <f t="shared" si="9"/>
        <v>0</v>
      </c>
      <c r="BP28" s="580">
        <f t="shared" si="29"/>
        <v>0</v>
      </c>
      <c r="BQ28" s="580">
        <f t="shared" si="30"/>
        <v>0</v>
      </c>
      <c r="BR28" s="580">
        <f t="shared" si="10"/>
        <v>0</v>
      </c>
      <c r="BS28" s="580">
        <f t="shared" si="11"/>
        <v>0</v>
      </c>
      <c r="BT28" s="525">
        <f t="shared" si="15"/>
        <v>0.58333333333333337</v>
      </c>
      <c r="BU28" s="526" t="str">
        <f t="shared" si="31"/>
        <v>Prestaciones Excepcionales - Recobros</v>
      </c>
      <c r="BV28" s="527">
        <f t="shared" si="13"/>
        <v>122541294750</v>
      </c>
      <c r="BW28" s="524"/>
      <c r="BX28" s="524"/>
      <c r="BY28" s="524"/>
      <c r="BZ28" s="524"/>
      <c r="CA28" s="524"/>
      <c r="CB28" s="524"/>
      <c r="CC28" s="524"/>
    </row>
    <row r="29" spans="1:81" s="457" customFormat="1" ht="51" x14ac:dyDescent="0.25">
      <c r="A29" s="513">
        <v>11300</v>
      </c>
      <c r="B29" s="514" t="s">
        <v>4</v>
      </c>
      <c r="C29" s="515" t="s">
        <v>160</v>
      </c>
      <c r="D29" s="514" t="s">
        <v>145</v>
      </c>
      <c r="E29" s="515" t="s">
        <v>161</v>
      </c>
      <c r="F29" s="514" t="s">
        <v>162</v>
      </c>
      <c r="G29" s="516" t="s">
        <v>123</v>
      </c>
      <c r="H29" s="517">
        <v>1</v>
      </c>
      <c r="I29" s="515" t="s">
        <v>309</v>
      </c>
      <c r="J29" s="514" t="s">
        <v>172</v>
      </c>
      <c r="K29" s="518">
        <v>165927919000</v>
      </c>
      <c r="L29" s="554">
        <v>3.8834487203722474E-3</v>
      </c>
      <c r="M29" s="514" t="s">
        <v>46</v>
      </c>
      <c r="N29" s="514" t="s">
        <v>68</v>
      </c>
      <c r="O29" s="514" t="s">
        <v>21</v>
      </c>
      <c r="P29" s="514" t="s">
        <v>36</v>
      </c>
      <c r="Q29" s="514" t="s">
        <v>213</v>
      </c>
      <c r="R29" s="514" t="s">
        <v>182</v>
      </c>
      <c r="S29" s="514" t="s">
        <v>99</v>
      </c>
      <c r="T29" s="519">
        <v>1</v>
      </c>
      <c r="U29" s="520" t="str">
        <f t="shared" si="16"/>
        <v>Atención en salud, transporte primario, indemnizaciones y auxilios funerarios víctimas</v>
      </c>
      <c r="V29" s="521">
        <f t="shared" si="17"/>
        <v>165927919000</v>
      </c>
      <c r="W29" s="522" t="s">
        <v>116</v>
      </c>
      <c r="X29" s="517">
        <v>0.25</v>
      </c>
      <c r="Y29" s="522" t="s">
        <v>172</v>
      </c>
      <c r="Z29" s="518">
        <v>41481979750</v>
      </c>
      <c r="AA29" s="606">
        <f t="shared" si="32"/>
        <v>0.37511077803977039</v>
      </c>
      <c r="AB29" s="518">
        <v>62241350794.610001</v>
      </c>
      <c r="AC29" s="523">
        <f t="shared" si="18"/>
        <v>1.5004431121590815</v>
      </c>
      <c r="AD29" s="523">
        <f t="shared" si="19"/>
        <v>1.5004431121590815</v>
      </c>
      <c r="AE29" s="523">
        <f t="shared" si="14"/>
        <v>0.37511077803977039</v>
      </c>
      <c r="AF29" s="523">
        <f t="shared" si="0"/>
        <v>0.37511077803977039</v>
      </c>
      <c r="AG29" s="528"/>
      <c r="AH29" s="517">
        <v>0.25</v>
      </c>
      <c r="AI29" s="522" t="s">
        <v>172</v>
      </c>
      <c r="AJ29" s="518">
        <v>41481979750</v>
      </c>
      <c r="AK29" s="524"/>
      <c r="AL29" s="524"/>
      <c r="AM29" s="523">
        <f t="shared" si="20"/>
        <v>0</v>
      </c>
      <c r="AN29" s="523">
        <f t="shared" si="1"/>
        <v>0</v>
      </c>
      <c r="AO29" s="523">
        <f t="shared" si="2"/>
        <v>0.37511077803977039</v>
      </c>
      <c r="AP29" s="523">
        <f t="shared" si="3"/>
        <v>0.37511077803977039</v>
      </c>
      <c r="AQ29" s="523"/>
      <c r="AR29" s="517">
        <v>0.25</v>
      </c>
      <c r="AS29" s="522" t="s">
        <v>172</v>
      </c>
      <c r="AT29" s="518">
        <v>41481979750</v>
      </c>
      <c r="AU29" s="524"/>
      <c r="AV29" s="524"/>
      <c r="AW29" s="523">
        <f t="shared" si="21"/>
        <v>0</v>
      </c>
      <c r="AX29" s="523">
        <f t="shared" si="22"/>
        <v>0</v>
      </c>
      <c r="AY29" s="523">
        <f t="shared" si="23"/>
        <v>0.37511077803977039</v>
      </c>
      <c r="AZ29" s="523">
        <f t="shared" si="24"/>
        <v>0.37511077803977039</v>
      </c>
      <c r="BA29" s="523"/>
      <c r="BB29" s="517">
        <v>0.25</v>
      </c>
      <c r="BC29" s="522" t="s">
        <v>172</v>
      </c>
      <c r="BD29" s="518">
        <v>41481979750</v>
      </c>
      <c r="BE29" s="524"/>
      <c r="BF29" s="524"/>
      <c r="BG29" s="517">
        <f t="shared" si="25"/>
        <v>0</v>
      </c>
      <c r="BH29" s="517">
        <f t="shared" si="26"/>
        <v>0</v>
      </c>
      <c r="BI29" s="517">
        <f t="shared" si="27"/>
        <v>0.37511077803977039</v>
      </c>
      <c r="BJ29" s="517">
        <f t="shared" si="28"/>
        <v>0.37511077803977039</v>
      </c>
      <c r="BK29" s="517"/>
      <c r="BL29" s="580">
        <f t="shared" si="6"/>
        <v>1.5004431121590815</v>
      </c>
      <c r="BM29" s="580">
        <f t="shared" si="7"/>
        <v>1.5004431121590815</v>
      </c>
      <c r="BN29" s="580">
        <f t="shared" si="8"/>
        <v>0</v>
      </c>
      <c r="BO29" s="580">
        <f t="shared" si="9"/>
        <v>0</v>
      </c>
      <c r="BP29" s="580">
        <f t="shared" si="29"/>
        <v>0</v>
      </c>
      <c r="BQ29" s="580">
        <f t="shared" si="30"/>
        <v>0</v>
      </c>
      <c r="BR29" s="580">
        <f t="shared" si="10"/>
        <v>0</v>
      </c>
      <c r="BS29" s="580">
        <f t="shared" si="11"/>
        <v>0</v>
      </c>
      <c r="BT29" s="525">
        <f t="shared" si="15"/>
        <v>0.58333333333333337</v>
      </c>
      <c r="BU29" s="526" t="str">
        <f t="shared" si="31"/>
        <v>Atención en salud, transporte primario, indemnizaciones y auxilios funerarios víctimas</v>
      </c>
      <c r="BV29" s="527">
        <f t="shared" si="13"/>
        <v>96791286083.333328</v>
      </c>
      <c r="BW29" s="524"/>
      <c r="BX29" s="524"/>
      <c r="BY29" s="524"/>
      <c r="BZ29" s="524"/>
      <c r="CA29" s="524"/>
      <c r="CB29" s="524"/>
      <c r="CC29" s="524"/>
    </row>
    <row r="30" spans="1:81" s="457" customFormat="1" ht="51" x14ac:dyDescent="0.25">
      <c r="A30" s="513">
        <v>11300</v>
      </c>
      <c r="B30" s="514" t="s">
        <v>4</v>
      </c>
      <c r="C30" s="515" t="s">
        <v>160</v>
      </c>
      <c r="D30" s="514" t="s">
        <v>145</v>
      </c>
      <c r="E30" s="515" t="s">
        <v>161</v>
      </c>
      <c r="F30" s="514" t="s">
        <v>162</v>
      </c>
      <c r="G30" s="516" t="s">
        <v>123</v>
      </c>
      <c r="H30" s="517">
        <v>1</v>
      </c>
      <c r="I30" s="515" t="s">
        <v>310</v>
      </c>
      <c r="J30" s="514" t="s">
        <v>176</v>
      </c>
      <c r="K30" s="518">
        <v>3872113000</v>
      </c>
      <c r="L30" s="554">
        <v>9.0624605947036218E-5</v>
      </c>
      <c r="M30" s="514" t="s">
        <v>46</v>
      </c>
      <c r="N30" s="514" t="s">
        <v>68</v>
      </c>
      <c r="O30" s="514" t="s">
        <v>21</v>
      </c>
      <c r="P30" s="514" t="s">
        <v>36</v>
      </c>
      <c r="Q30" s="514" t="s">
        <v>213</v>
      </c>
      <c r="R30" s="514" t="s">
        <v>182</v>
      </c>
      <c r="S30" s="514" t="s">
        <v>99</v>
      </c>
      <c r="T30" s="519">
        <v>1</v>
      </c>
      <c r="U30" s="520" t="str">
        <f t="shared" si="16"/>
        <v>Fortalecimiento red de urgencias nacional, emergencias sanitarias y eventos catastróficos</v>
      </c>
      <c r="V30" s="521">
        <f t="shared" si="17"/>
        <v>3872113000</v>
      </c>
      <c r="W30" s="522" t="s">
        <v>116</v>
      </c>
      <c r="X30" s="517">
        <v>0.25</v>
      </c>
      <c r="Y30" s="522" t="s">
        <v>176</v>
      </c>
      <c r="Z30" s="518">
        <v>968028250</v>
      </c>
      <c r="AA30" s="606">
        <f t="shared" si="32"/>
        <v>0</v>
      </c>
      <c r="AB30" s="518">
        <v>0</v>
      </c>
      <c r="AC30" s="523">
        <f t="shared" si="18"/>
        <v>0</v>
      </c>
      <c r="AD30" s="523">
        <f t="shared" si="19"/>
        <v>0</v>
      </c>
      <c r="AE30" s="523">
        <f t="shared" si="14"/>
        <v>0</v>
      </c>
      <c r="AF30" s="523">
        <f t="shared" si="0"/>
        <v>0</v>
      </c>
      <c r="AG30" s="528"/>
      <c r="AH30" s="517">
        <v>0.25</v>
      </c>
      <c r="AI30" s="522" t="s">
        <v>176</v>
      </c>
      <c r="AJ30" s="518">
        <v>968028250</v>
      </c>
      <c r="AK30" s="524"/>
      <c r="AL30" s="524"/>
      <c r="AM30" s="523">
        <f t="shared" si="20"/>
        <v>0</v>
      </c>
      <c r="AN30" s="523">
        <f t="shared" si="1"/>
        <v>0</v>
      </c>
      <c r="AO30" s="523">
        <f t="shared" si="2"/>
        <v>0</v>
      </c>
      <c r="AP30" s="523">
        <f t="shared" si="3"/>
        <v>0</v>
      </c>
      <c r="AQ30" s="523"/>
      <c r="AR30" s="517">
        <v>0.25</v>
      </c>
      <c r="AS30" s="522" t="s">
        <v>176</v>
      </c>
      <c r="AT30" s="518">
        <v>968028250</v>
      </c>
      <c r="AU30" s="524"/>
      <c r="AV30" s="524"/>
      <c r="AW30" s="523">
        <f t="shared" si="21"/>
        <v>0</v>
      </c>
      <c r="AX30" s="523">
        <f t="shared" si="22"/>
        <v>0</v>
      </c>
      <c r="AY30" s="523">
        <f t="shared" si="23"/>
        <v>0</v>
      </c>
      <c r="AZ30" s="523">
        <f t="shared" si="24"/>
        <v>0</v>
      </c>
      <c r="BA30" s="523"/>
      <c r="BB30" s="517">
        <v>0.25</v>
      </c>
      <c r="BC30" s="522" t="s">
        <v>176</v>
      </c>
      <c r="BD30" s="518">
        <v>968028250</v>
      </c>
      <c r="BE30" s="524"/>
      <c r="BF30" s="524"/>
      <c r="BG30" s="517">
        <f t="shared" si="25"/>
        <v>0</v>
      </c>
      <c r="BH30" s="517">
        <f t="shared" si="26"/>
        <v>0</v>
      </c>
      <c r="BI30" s="517">
        <f t="shared" si="27"/>
        <v>0</v>
      </c>
      <c r="BJ30" s="517">
        <f t="shared" si="28"/>
        <v>0</v>
      </c>
      <c r="BK30" s="517"/>
      <c r="BL30" s="580">
        <f t="shared" si="6"/>
        <v>0</v>
      </c>
      <c r="BM30" s="580">
        <f t="shared" si="7"/>
        <v>0</v>
      </c>
      <c r="BN30" s="580">
        <f t="shared" si="8"/>
        <v>0</v>
      </c>
      <c r="BO30" s="580">
        <f t="shared" si="9"/>
        <v>0</v>
      </c>
      <c r="BP30" s="580">
        <f t="shared" si="29"/>
        <v>0</v>
      </c>
      <c r="BQ30" s="580">
        <f t="shared" si="30"/>
        <v>0</v>
      </c>
      <c r="BR30" s="580">
        <f t="shared" si="10"/>
        <v>0</v>
      </c>
      <c r="BS30" s="580">
        <f t="shared" si="11"/>
        <v>0</v>
      </c>
      <c r="BT30" s="525">
        <f t="shared" si="15"/>
        <v>0.58333333333333337</v>
      </c>
      <c r="BU30" s="526" t="str">
        <f t="shared" si="31"/>
        <v>Fortalecimiento red de urgencias nacional, emergencias sanitarias y eventos catastróficos</v>
      </c>
      <c r="BV30" s="527">
        <f t="shared" si="13"/>
        <v>2258732583.3333335</v>
      </c>
      <c r="BW30" s="524"/>
      <c r="BX30" s="524"/>
      <c r="BY30" s="524"/>
      <c r="BZ30" s="524"/>
      <c r="CA30" s="524"/>
      <c r="CB30" s="524"/>
      <c r="CC30" s="524"/>
    </row>
    <row r="31" spans="1:81" s="457" customFormat="1" ht="63.75" x14ac:dyDescent="0.25">
      <c r="A31" s="513">
        <v>11300</v>
      </c>
      <c r="B31" s="514" t="s">
        <v>4</v>
      </c>
      <c r="C31" s="515" t="s">
        <v>160</v>
      </c>
      <c r="D31" s="514" t="s">
        <v>145</v>
      </c>
      <c r="E31" s="515" t="s">
        <v>161</v>
      </c>
      <c r="F31" s="514" t="s">
        <v>162</v>
      </c>
      <c r="G31" s="516" t="s">
        <v>123</v>
      </c>
      <c r="H31" s="517">
        <v>1</v>
      </c>
      <c r="I31" s="515" t="s">
        <v>311</v>
      </c>
      <c r="J31" s="514" t="s">
        <v>177</v>
      </c>
      <c r="K31" s="518">
        <v>20994078000</v>
      </c>
      <c r="L31" s="554">
        <v>4.9135456751127002E-4</v>
      </c>
      <c r="M31" s="514" t="s">
        <v>46</v>
      </c>
      <c r="N31" s="514" t="s">
        <v>68</v>
      </c>
      <c r="O31" s="514" t="s">
        <v>21</v>
      </c>
      <c r="P31" s="514" t="s">
        <v>36</v>
      </c>
      <c r="Q31" s="514" t="s">
        <v>213</v>
      </c>
      <c r="R31" s="514" t="s">
        <v>182</v>
      </c>
      <c r="S31" s="514" t="s">
        <v>99</v>
      </c>
      <c r="T31" s="519">
        <v>1</v>
      </c>
      <c r="U31" s="520" t="str">
        <f t="shared" si="16"/>
        <v>Otros programas de salud promoción y prevención</v>
      </c>
      <c r="V31" s="521">
        <f t="shared" si="17"/>
        <v>20994078000</v>
      </c>
      <c r="W31" s="522" t="s">
        <v>116</v>
      </c>
      <c r="X31" s="517">
        <v>0.25</v>
      </c>
      <c r="Y31" s="522" t="s">
        <v>177</v>
      </c>
      <c r="Z31" s="518">
        <v>5248520500</v>
      </c>
      <c r="AA31" s="606">
        <f>+(AB31/Z31)*X31</f>
        <v>9.2528103872319828E-4</v>
      </c>
      <c r="AB31" s="518">
        <v>19425426</v>
      </c>
      <c r="AC31" s="554">
        <f t="shared" si="18"/>
        <v>3.7011241548927931E-3</v>
      </c>
      <c r="AD31" s="554">
        <f t="shared" si="19"/>
        <v>3.7011241548927931E-3</v>
      </c>
      <c r="AE31" s="554">
        <f t="shared" si="14"/>
        <v>9.2528103872319828E-4</v>
      </c>
      <c r="AF31" s="554">
        <f t="shared" si="0"/>
        <v>9.2528121501692052E-4</v>
      </c>
      <c r="AG31" s="528" t="s">
        <v>995</v>
      </c>
      <c r="AH31" s="517">
        <v>0.25</v>
      </c>
      <c r="AI31" s="522" t="s">
        <v>177</v>
      </c>
      <c r="AJ31" s="518">
        <v>5248520500</v>
      </c>
      <c r="AK31" s="524"/>
      <c r="AL31" s="524"/>
      <c r="AM31" s="523">
        <f t="shared" si="20"/>
        <v>0</v>
      </c>
      <c r="AN31" s="523">
        <f t="shared" si="1"/>
        <v>0</v>
      </c>
      <c r="AO31" s="523">
        <f t="shared" si="2"/>
        <v>9.2528103872319828E-4</v>
      </c>
      <c r="AP31" s="523">
        <f t="shared" si="3"/>
        <v>9.2528121501692052E-4</v>
      </c>
      <c r="AQ31" s="523"/>
      <c r="AR31" s="517">
        <v>0.25</v>
      </c>
      <c r="AS31" s="522" t="s">
        <v>177</v>
      </c>
      <c r="AT31" s="518">
        <v>5248520500</v>
      </c>
      <c r="AU31" s="524"/>
      <c r="AV31" s="524"/>
      <c r="AW31" s="523">
        <f t="shared" si="21"/>
        <v>0</v>
      </c>
      <c r="AX31" s="523">
        <f t="shared" si="22"/>
        <v>0</v>
      </c>
      <c r="AY31" s="523">
        <f t="shared" si="23"/>
        <v>9.2528103872319828E-4</v>
      </c>
      <c r="AZ31" s="523">
        <f t="shared" si="24"/>
        <v>9.2528121501692052E-4</v>
      </c>
      <c r="BA31" s="523"/>
      <c r="BB31" s="517">
        <v>0.25</v>
      </c>
      <c r="BC31" s="522" t="s">
        <v>177</v>
      </c>
      <c r="BD31" s="518">
        <v>5248520500</v>
      </c>
      <c r="BE31" s="524"/>
      <c r="BF31" s="524"/>
      <c r="BG31" s="517">
        <f t="shared" si="25"/>
        <v>0</v>
      </c>
      <c r="BH31" s="517">
        <f t="shared" si="26"/>
        <v>0</v>
      </c>
      <c r="BI31" s="517">
        <f t="shared" si="27"/>
        <v>9.2528103872319828E-4</v>
      </c>
      <c r="BJ31" s="517">
        <f t="shared" si="28"/>
        <v>9.2528121501692052E-4</v>
      </c>
      <c r="BK31" s="517"/>
      <c r="BL31" s="580">
        <f t="shared" si="6"/>
        <v>3.7011241548927931E-3</v>
      </c>
      <c r="BM31" s="580">
        <f t="shared" si="7"/>
        <v>3.7011241548927931E-3</v>
      </c>
      <c r="BN31" s="580">
        <f t="shared" si="8"/>
        <v>0</v>
      </c>
      <c r="BO31" s="580">
        <f t="shared" si="9"/>
        <v>0</v>
      </c>
      <c r="BP31" s="580">
        <f t="shared" si="29"/>
        <v>0</v>
      </c>
      <c r="BQ31" s="580">
        <f t="shared" si="30"/>
        <v>0</v>
      </c>
      <c r="BR31" s="580">
        <f t="shared" si="10"/>
        <v>0</v>
      </c>
      <c r="BS31" s="580">
        <f t="shared" si="11"/>
        <v>0</v>
      </c>
      <c r="BT31" s="525">
        <f t="shared" si="15"/>
        <v>0.58333333333333337</v>
      </c>
      <c r="BU31" s="526" t="str">
        <f t="shared" si="31"/>
        <v>Otros programas de salud promoción y prevención</v>
      </c>
      <c r="BV31" s="527">
        <f t="shared" si="13"/>
        <v>12246547833.333334</v>
      </c>
      <c r="BW31" s="524"/>
      <c r="BX31" s="524"/>
      <c r="BY31" s="524"/>
      <c r="BZ31" s="524"/>
      <c r="CA31" s="524"/>
      <c r="CB31" s="524"/>
      <c r="CC31" s="524"/>
    </row>
    <row r="32" spans="1:81" s="457" customFormat="1" ht="51" x14ac:dyDescent="0.25">
      <c r="A32" s="513">
        <v>11300</v>
      </c>
      <c r="B32" s="514" t="s">
        <v>4</v>
      </c>
      <c r="C32" s="515" t="s">
        <v>160</v>
      </c>
      <c r="D32" s="514" t="s">
        <v>145</v>
      </c>
      <c r="E32" s="515" t="s">
        <v>161</v>
      </c>
      <c r="F32" s="514" t="s">
        <v>162</v>
      </c>
      <c r="G32" s="516" t="s">
        <v>123</v>
      </c>
      <c r="H32" s="517">
        <v>1</v>
      </c>
      <c r="I32" s="515" t="s">
        <v>312</v>
      </c>
      <c r="J32" s="514" t="s">
        <v>178</v>
      </c>
      <c r="K32" s="518">
        <v>161564182000</v>
      </c>
      <c r="L32" s="554">
        <v>3.7813179338788E-3</v>
      </c>
      <c r="M32" s="514" t="s">
        <v>46</v>
      </c>
      <c r="N32" s="514" t="s">
        <v>68</v>
      </c>
      <c r="O32" s="514" t="s">
        <v>21</v>
      </c>
      <c r="P32" s="514" t="s">
        <v>36</v>
      </c>
      <c r="Q32" s="514" t="s">
        <v>213</v>
      </c>
      <c r="R32" s="514" t="s">
        <v>182</v>
      </c>
      <c r="S32" s="514" t="s">
        <v>99</v>
      </c>
      <c r="T32" s="519">
        <v>1</v>
      </c>
      <c r="U32" s="520" t="str">
        <f t="shared" si="16"/>
        <v>Recursos con destinación especifica</v>
      </c>
      <c r="V32" s="521">
        <f t="shared" si="17"/>
        <v>161564182000</v>
      </c>
      <c r="W32" s="522" t="s">
        <v>116</v>
      </c>
      <c r="X32" s="517">
        <v>0.25</v>
      </c>
      <c r="Y32" s="522" t="s">
        <v>178</v>
      </c>
      <c r="Z32" s="518">
        <v>40391045500</v>
      </c>
      <c r="AA32" s="606">
        <f t="shared" si="32"/>
        <v>1.7306364600044829E-3</v>
      </c>
      <c r="AB32" s="518">
        <v>279608864</v>
      </c>
      <c r="AC32" s="554">
        <f t="shared" si="18"/>
        <v>6.9225458400179315E-3</v>
      </c>
      <c r="AD32" s="554">
        <f t="shared" si="19"/>
        <v>6.9225458400179315E-3</v>
      </c>
      <c r="AE32" s="554">
        <f t="shared" si="14"/>
        <v>1.7306364600044829E-3</v>
      </c>
      <c r="AF32" s="554">
        <f>+(AB32/V32)</f>
        <v>1.7306364600044829E-3</v>
      </c>
      <c r="AG32" s="528"/>
      <c r="AH32" s="517">
        <v>0.25</v>
      </c>
      <c r="AI32" s="522" t="s">
        <v>178</v>
      </c>
      <c r="AJ32" s="518">
        <v>40391045500</v>
      </c>
      <c r="AK32" s="524"/>
      <c r="AL32" s="524"/>
      <c r="AM32" s="523">
        <f t="shared" si="20"/>
        <v>0</v>
      </c>
      <c r="AN32" s="523">
        <f t="shared" si="1"/>
        <v>0</v>
      </c>
      <c r="AO32" s="523">
        <f t="shared" si="2"/>
        <v>1.7306364600044829E-3</v>
      </c>
      <c r="AP32" s="523">
        <f t="shared" si="3"/>
        <v>1.7306364600044829E-3</v>
      </c>
      <c r="AQ32" s="523"/>
      <c r="AR32" s="517">
        <v>0.25</v>
      </c>
      <c r="AS32" s="522" t="s">
        <v>178</v>
      </c>
      <c r="AT32" s="518">
        <v>40391045500</v>
      </c>
      <c r="AU32" s="524"/>
      <c r="AV32" s="524"/>
      <c r="AW32" s="523">
        <f t="shared" si="21"/>
        <v>0</v>
      </c>
      <c r="AX32" s="523">
        <f t="shared" si="22"/>
        <v>0</v>
      </c>
      <c r="AY32" s="523">
        <f t="shared" si="23"/>
        <v>1.7306364600044829E-3</v>
      </c>
      <c r="AZ32" s="523">
        <f t="shared" si="24"/>
        <v>1.7306364600044829E-3</v>
      </c>
      <c r="BA32" s="523"/>
      <c r="BB32" s="517">
        <v>0.25</v>
      </c>
      <c r="BC32" s="522" t="s">
        <v>178</v>
      </c>
      <c r="BD32" s="518">
        <v>40391045500</v>
      </c>
      <c r="BE32" s="524"/>
      <c r="BF32" s="524"/>
      <c r="BG32" s="517">
        <f t="shared" si="25"/>
        <v>0</v>
      </c>
      <c r="BH32" s="517">
        <f t="shared" si="26"/>
        <v>0</v>
      </c>
      <c r="BI32" s="517">
        <f t="shared" si="27"/>
        <v>1.7306364600044829E-3</v>
      </c>
      <c r="BJ32" s="517">
        <f t="shared" si="28"/>
        <v>1.7306364600044829E-3</v>
      </c>
      <c r="BK32" s="517"/>
      <c r="BL32" s="580">
        <f t="shared" si="6"/>
        <v>6.9225458400179315E-3</v>
      </c>
      <c r="BM32" s="580">
        <f t="shared" si="7"/>
        <v>6.9225458400179315E-3</v>
      </c>
      <c r="BN32" s="580">
        <f t="shared" si="8"/>
        <v>0</v>
      </c>
      <c r="BO32" s="580">
        <f t="shared" si="9"/>
        <v>0</v>
      </c>
      <c r="BP32" s="580">
        <f t="shared" si="29"/>
        <v>0</v>
      </c>
      <c r="BQ32" s="580">
        <f t="shared" si="30"/>
        <v>0</v>
      </c>
      <c r="BR32" s="580">
        <f t="shared" si="10"/>
        <v>0</v>
      </c>
      <c r="BS32" s="580">
        <f t="shared" si="11"/>
        <v>0</v>
      </c>
      <c r="BT32" s="525">
        <f t="shared" si="15"/>
        <v>0.58333333333333337</v>
      </c>
      <c r="BU32" s="526" t="str">
        <f t="shared" si="31"/>
        <v>Recursos con destinación especifica</v>
      </c>
      <c r="BV32" s="527">
        <f t="shared" si="13"/>
        <v>94245772833.333328</v>
      </c>
      <c r="BW32" s="524"/>
      <c r="BX32" s="524"/>
      <c r="BY32" s="524"/>
      <c r="BZ32" s="524"/>
      <c r="CA32" s="524"/>
      <c r="CB32" s="524"/>
      <c r="CC32" s="524"/>
    </row>
    <row r="33" spans="1:81" s="457" customFormat="1" ht="51" x14ac:dyDescent="0.25">
      <c r="A33" s="513">
        <v>11300</v>
      </c>
      <c r="B33" s="514" t="s">
        <v>4</v>
      </c>
      <c r="C33" s="515" t="s">
        <v>160</v>
      </c>
      <c r="D33" s="514" t="s">
        <v>145</v>
      </c>
      <c r="E33" s="515" t="s">
        <v>161</v>
      </c>
      <c r="F33" s="514" t="s">
        <v>162</v>
      </c>
      <c r="G33" s="516" t="s">
        <v>123</v>
      </c>
      <c r="H33" s="517">
        <v>1</v>
      </c>
      <c r="I33" s="515" t="s">
        <v>313</v>
      </c>
      <c r="J33" s="514" t="s">
        <v>179</v>
      </c>
      <c r="K33" s="518">
        <v>51737471000</v>
      </c>
      <c r="L33" s="554">
        <v>1.2108861291163801E-3</v>
      </c>
      <c r="M33" s="514" t="s">
        <v>46</v>
      </c>
      <c r="N33" s="514" t="s">
        <v>68</v>
      </c>
      <c r="O33" s="514" t="s">
        <v>21</v>
      </c>
      <c r="P33" s="514" t="s">
        <v>36</v>
      </c>
      <c r="Q33" s="514" t="s">
        <v>213</v>
      </c>
      <c r="R33" s="514" t="s">
        <v>182</v>
      </c>
      <c r="S33" s="514" t="s">
        <v>99</v>
      </c>
      <c r="T33" s="519">
        <v>1</v>
      </c>
      <c r="U33" s="520" t="str">
        <f t="shared" si="16"/>
        <v>FONSAET</v>
      </c>
      <c r="V33" s="521">
        <f t="shared" si="17"/>
        <v>51737471000</v>
      </c>
      <c r="W33" s="522" t="s">
        <v>116</v>
      </c>
      <c r="X33" s="517">
        <v>0.25</v>
      </c>
      <c r="Y33" s="522" t="s">
        <v>179</v>
      </c>
      <c r="Z33" s="518">
        <v>12934367750</v>
      </c>
      <c r="AA33" s="606">
        <f t="shared" si="32"/>
        <v>0</v>
      </c>
      <c r="AB33" s="518">
        <v>0</v>
      </c>
      <c r="AC33" s="523">
        <f t="shared" si="18"/>
        <v>0</v>
      </c>
      <c r="AD33" s="523">
        <f t="shared" si="19"/>
        <v>0</v>
      </c>
      <c r="AE33" s="523">
        <f t="shared" si="14"/>
        <v>0</v>
      </c>
      <c r="AF33" s="523">
        <f t="shared" si="0"/>
        <v>0</v>
      </c>
      <c r="AG33" s="528"/>
      <c r="AH33" s="517">
        <v>0.25</v>
      </c>
      <c r="AI33" s="522" t="s">
        <v>179</v>
      </c>
      <c r="AJ33" s="518">
        <v>12934367750</v>
      </c>
      <c r="AK33" s="524"/>
      <c r="AL33" s="524"/>
      <c r="AM33" s="523">
        <f>+(AK33/AH33)</f>
        <v>0</v>
      </c>
      <c r="AN33" s="523">
        <f>+(AL33/AJ33)</f>
        <v>0</v>
      </c>
      <c r="AO33" s="523">
        <f>+(AK33+AA33)/T33</f>
        <v>0</v>
      </c>
      <c r="AP33" s="523">
        <f>+(AL33+AB33)/V33</f>
        <v>0</v>
      </c>
      <c r="AQ33" s="523"/>
      <c r="AR33" s="517">
        <v>0.25</v>
      </c>
      <c r="AS33" s="522" t="s">
        <v>179</v>
      </c>
      <c r="AT33" s="518">
        <v>12934367750</v>
      </c>
      <c r="AU33" s="524"/>
      <c r="AV33" s="524"/>
      <c r="AW33" s="523">
        <f t="shared" si="21"/>
        <v>0</v>
      </c>
      <c r="AX33" s="523">
        <f t="shared" si="22"/>
        <v>0</v>
      </c>
      <c r="AY33" s="523">
        <f t="shared" si="23"/>
        <v>0</v>
      </c>
      <c r="AZ33" s="523">
        <f t="shared" si="24"/>
        <v>0</v>
      </c>
      <c r="BA33" s="523"/>
      <c r="BB33" s="517">
        <v>0.25</v>
      </c>
      <c r="BC33" s="522" t="s">
        <v>179</v>
      </c>
      <c r="BD33" s="518">
        <v>12934367750</v>
      </c>
      <c r="BE33" s="524"/>
      <c r="BF33" s="524"/>
      <c r="BG33" s="517">
        <f t="shared" si="25"/>
        <v>0</v>
      </c>
      <c r="BH33" s="517">
        <f t="shared" si="26"/>
        <v>0</v>
      </c>
      <c r="BI33" s="517">
        <f>+(AK33+AA33+AU33+BE33)/T33</f>
        <v>0</v>
      </c>
      <c r="BJ33" s="517">
        <f>+(AL33+AB33+AV33+BF33)/V33</f>
        <v>0</v>
      </c>
      <c r="BK33" s="517"/>
      <c r="BL33" s="580">
        <f>IF(AND(X33=0,AA33=0),"No Prog ni Ejec",IF(X33=0,CONCATENATE("No Prog, Ejec=  ",AA33),AA33/X33))</f>
        <v>0</v>
      </c>
      <c r="BM33" s="580">
        <f>IF(AND(Z33=0,AB33=0),"No Prog ni Ejec",IF(Z33=0,CONCATENATE("No Prog, Ejec=  ",AB33),AB33/Z33))</f>
        <v>0</v>
      </c>
      <c r="BN33" s="580">
        <f>IF(AND(AH33=0,AK33=0),"No Prog ni Ejec",IF(AH33=0,CONCATENATE("No Prog, Ejec=  ",AK33),AK33/AH33))</f>
        <v>0</v>
      </c>
      <c r="BO33" s="580">
        <f>IF(AND(AJ33=0,AL33=0),"No Prog ni Ejec",IF(AJ33=0,CONCATENATE("No Prog, Ejec=  ",AL33),AL33/AJ33))</f>
        <v>0</v>
      </c>
      <c r="BP33" s="580">
        <f>IF(AND(AR33=0,AU33=0),"No Prog ni Ejec",IF(AR33=0,CONCATENATE("No Prog, Ejec=  ",AU33),AU33/AR33))</f>
        <v>0</v>
      </c>
      <c r="BQ33" s="580">
        <f t="shared" si="30"/>
        <v>0</v>
      </c>
      <c r="BR33" s="580">
        <f>IF(AND(BB33=0,BE33=0),"No Prog ni Ejec",IF(BB33=0,CONCATENATE("No Prog, Ejec=  ",BE33),BE33/BB33))</f>
        <v>0</v>
      </c>
      <c r="BS33" s="580">
        <f>IF(AND(BD33=0,BF33=0),"No Prog ni Ejec",IF(BD33=0,CONCATENATE("No Prog, Ejec=  ",BF33),BF33/BD33))</f>
        <v>0</v>
      </c>
      <c r="BT33" s="525">
        <f t="shared" si="15"/>
        <v>0.58333333333333337</v>
      </c>
      <c r="BU33" s="526" t="str">
        <f t="shared" si="31"/>
        <v>FONSAET</v>
      </c>
      <c r="BV33" s="527">
        <f t="shared" si="13"/>
        <v>30180191416.666668</v>
      </c>
      <c r="BW33" s="524"/>
      <c r="BX33" s="524"/>
      <c r="BY33" s="524"/>
      <c r="BZ33" s="524"/>
      <c r="CA33" s="524"/>
      <c r="CB33" s="524"/>
      <c r="CC33" s="524"/>
    </row>
    <row r="34" spans="1:81" s="457" customFormat="1" ht="51" x14ac:dyDescent="0.25">
      <c r="A34" s="513">
        <v>11300</v>
      </c>
      <c r="B34" s="514" t="s">
        <v>4</v>
      </c>
      <c r="C34" s="515" t="s">
        <v>160</v>
      </c>
      <c r="D34" s="514" t="s">
        <v>145</v>
      </c>
      <c r="E34" s="515" t="s">
        <v>161</v>
      </c>
      <c r="F34" s="514" t="s">
        <v>162</v>
      </c>
      <c r="G34" s="516" t="s">
        <v>123</v>
      </c>
      <c r="H34" s="517">
        <v>1</v>
      </c>
      <c r="I34" s="515" t="s">
        <v>314</v>
      </c>
      <c r="J34" s="514" t="s">
        <v>180</v>
      </c>
      <c r="K34" s="518">
        <v>4936416000</v>
      </c>
      <c r="L34" s="554">
        <v>1.1553401328696884E-4</v>
      </c>
      <c r="M34" s="514" t="s">
        <v>46</v>
      </c>
      <c r="N34" s="514" t="s">
        <v>68</v>
      </c>
      <c r="O34" s="514" t="s">
        <v>21</v>
      </c>
      <c r="P34" s="514" t="s">
        <v>36</v>
      </c>
      <c r="Q34" s="514" t="s">
        <v>213</v>
      </c>
      <c r="R34" s="514" t="s">
        <v>182</v>
      </c>
      <c r="S34" s="514" t="s">
        <v>99</v>
      </c>
      <c r="T34" s="519">
        <v>1</v>
      </c>
      <c r="U34" s="520" t="str">
        <f t="shared" si="16"/>
        <v>Rendimientos Financieros cuentas de recaudo EPS - SSF</v>
      </c>
      <c r="V34" s="521">
        <f t="shared" si="17"/>
        <v>4936416000</v>
      </c>
      <c r="W34" s="522" t="s">
        <v>116</v>
      </c>
      <c r="X34" s="517">
        <v>0.25</v>
      </c>
      <c r="Y34" s="522" t="s">
        <v>180</v>
      </c>
      <c r="Z34" s="518">
        <v>1234104000</v>
      </c>
      <c r="AA34" s="606">
        <f t="shared" si="32"/>
        <v>0.26111160951589168</v>
      </c>
      <c r="AB34" s="518">
        <v>1288955527</v>
      </c>
      <c r="AC34" s="523">
        <f t="shared" si="18"/>
        <v>1.0444464380635667</v>
      </c>
      <c r="AD34" s="523">
        <f t="shared" si="19"/>
        <v>1.0444464380635667</v>
      </c>
      <c r="AE34" s="523">
        <f t="shared" si="14"/>
        <v>0.26111160951589168</v>
      </c>
      <c r="AF34" s="523">
        <f t="shared" si="0"/>
        <v>0.26111160951589168</v>
      </c>
      <c r="AG34" s="528"/>
      <c r="AH34" s="517">
        <v>0.25</v>
      </c>
      <c r="AI34" s="522" t="s">
        <v>180</v>
      </c>
      <c r="AJ34" s="518">
        <v>1234104000</v>
      </c>
      <c r="AK34" s="524"/>
      <c r="AL34" s="524"/>
      <c r="AM34" s="523">
        <f t="shared" si="20"/>
        <v>0</v>
      </c>
      <c r="AN34" s="523">
        <f t="shared" si="1"/>
        <v>0</v>
      </c>
      <c r="AO34" s="523">
        <f t="shared" si="2"/>
        <v>0.26111160951589168</v>
      </c>
      <c r="AP34" s="523">
        <f t="shared" si="3"/>
        <v>0.26111160951589168</v>
      </c>
      <c r="AQ34" s="523"/>
      <c r="AR34" s="517">
        <v>0.25</v>
      </c>
      <c r="AS34" s="522" t="s">
        <v>180</v>
      </c>
      <c r="AT34" s="518">
        <v>1234104000</v>
      </c>
      <c r="AU34" s="524"/>
      <c r="AV34" s="524"/>
      <c r="AW34" s="523">
        <f t="shared" si="21"/>
        <v>0</v>
      </c>
      <c r="AX34" s="523">
        <f t="shared" si="22"/>
        <v>0</v>
      </c>
      <c r="AY34" s="523">
        <f t="shared" si="23"/>
        <v>0.26111160951589168</v>
      </c>
      <c r="AZ34" s="523">
        <f t="shared" si="24"/>
        <v>0.26111160951589168</v>
      </c>
      <c r="BA34" s="523"/>
      <c r="BB34" s="517">
        <v>0.25</v>
      </c>
      <c r="BC34" s="522" t="s">
        <v>180</v>
      </c>
      <c r="BD34" s="518">
        <v>1234104000</v>
      </c>
      <c r="BE34" s="524"/>
      <c r="BF34" s="524"/>
      <c r="BG34" s="517">
        <f t="shared" si="25"/>
        <v>0</v>
      </c>
      <c r="BH34" s="517">
        <f t="shared" si="26"/>
        <v>0</v>
      </c>
      <c r="BI34" s="517">
        <f t="shared" si="27"/>
        <v>0.26111160951589168</v>
      </c>
      <c r="BJ34" s="517">
        <f t="shared" si="28"/>
        <v>0.26111160951589168</v>
      </c>
      <c r="BK34" s="517"/>
      <c r="BL34" s="580">
        <f t="shared" si="6"/>
        <v>1.0444464380635667</v>
      </c>
      <c r="BM34" s="580">
        <f t="shared" si="7"/>
        <v>1.0444464380635667</v>
      </c>
      <c r="BN34" s="580">
        <f t="shared" si="8"/>
        <v>0</v>
      </c>
      <c r="BO34" s="580">
        <f t="shared" si="9"/>
        <v>0</v>
      </c>
      <c r="BP34" s="580">
        <f t="shared" si="29"/>
        <v>0</v>
      </c>
      <c r="BQ34" s="580">
        <f t="shared" si="30"/>
        <v>0</v>
      </c>
      <c r="BR34" s="580">
        <f t="shared" si="10"/>
        <v>0</v>
      </c>
      <c r="BS34" s="580">
        <f t="shared" si="11"/>
        <v>0</v>
      </c>
      <c r="BT34" s="525">
        <f t="shared" si="15"/>
        <v>0.58333333333333337</v>
      </c>
      <c r="BU34" s="526" t="str">
        <f t="shared" si="31"/>
        <v>Rendimientos Financieros cuentas de recaudo EPS - SSF</v>
      </c>
      <c r="BV34" s="527">
        <f t="shared" si="13"/>
        <v>2879576000</v>
      </c>
      <c r="BW34" s="524"/>
      <c r="BX34" s="524"/>
      <c r="BY34" s="524"/>
      <c r="BZ34" s="524"/>
      <c r="CA34" s="524"/>
      <c r="CB34" s="524"/>
      <c r="CC34" s="524"/>
    </row>
    <row r="35" spans="1:81" s="457" customFormat="1" ht="51" x14ac:dyDescent="0.25">
      <c r="A35" s="513">
        <v>11300</v>
      </c>
      <c r="B35" s="514" t="s">
        <v>4</v>
      </c>
      <c r="C35" s="515" t="s">
        <v>160</v>
      </c>
      <c r="D35" s="514" t="s">
        <v>145</v>
      </c>
      <c r="E35" s="515" t="s">
        <v>161</v>
      </c>
      <c r="F35" s="514" t="s">
        <v>162</v>
      </c>
      <c r="G35" s="516" t="s">
        <v>123</v>
      </c>
      <c r="H35" s="517">
        <v>1</v>
      </c>
      <c r="I35" s="515" t="s">
        <v>315</v>
      </c>
      <c r="J35" s="514" t="s">
        <v>181</v>
      </c>
      <c r="K35" s="518">
        <v>50000000000</v>
      </c>
      <c r="L35" s="554">
        <v>1.1702216070016065E-3</v>
      </c>
      <c r="M35" s="514" t="s">
        <v>46</v>
      </c>
      <c r="N35" s="514" t="s">
        <v>68</v>
      </c>
      <c r="O35" s="514" t="s">
        <v>21</v>
      </c>
      <c r="P35" s="514" t="s">
        <v>36</v>
      </c>
      <c r="Q35" s="514" t="s">
        <v>213</v>
      </c>
      <c r="R35" s="514" t="s">
        <v>182</v>
      </c>
      <c r="S35" s="514" t="s">
        <v>99</v>
      </c>
      <c r="T35" s="519">
        <v>1</v>
      </c>
      <c r="U35" s="520" t="str">
        <f t="shared" si="16"/>
        <v>Fortalecimientos Patrimonial a las Entidades del Sector salud</v>
      </c>
      <c r="V35" s="521">
        <f t="shared" si="17"/>
        <v>50000000000</v>
      </c>
      <c r="W35" s="522" t="s">
        <v>116</v>
      </c>
      <c r="X35" s="517">
        <v>0.25</v>
      </c>
      <c r="Y35" s="522" t="s">
        <v>181</v>
      </c>
      <c r="Z35" s="518">
        <v>12500000000</v>
      </c>
      <c r="AA35" s="606">
        <f t="shared" si="32"/>
        <v>0</v>
      </c>
      <c r="AB35" s="518">
        <v>0</v>
      </c>
      <c r="AC35" s="523">
        <f t="shared" si="18"/>
        <v>0</v>
      </c>
      <c r="AD35" s="523">
        <f t="shared" si="19"/>
        <v>0</v>
      </c>
      <c r="AE35" s="523">
        <f t="shared" si="14"/>
        <v>0</v>
      </c>
      <c r="AF35" s="523">
        <f t="shared" si="0"/>
        <v>0</v>
      </c>
      <c r="AG35" s="528"/>
      <c r="AH35" s="517">
        <v>0.25</v>
      </c>
      <c r="AI35" s="522" t="s">
        <v>181</v>
      </c>
      <c r="AJ35" s="518">
        <v>12500000000</v>
      </c>
      <c r="AK35" s="524"/>
      <c r="AL35" s="524"/>
      <c r="AM35" s="523">
        <f t="shared" si="20"/>
        <v>0</v>
      </c>
      <c r="AN35" s="523">
        <f t="shared" si="1"/>
        <v>0</v>
      </c>
      <c r="AO35" s="523">
        <f t="shared" si="2"/>
        <v>0</v>
      </c>
      <c r="AP35" s="523">
        <f t="shared" si="3"/>
        <v>0</v>
      </c>
      <c r="AQ35" s="523"/>
      <c r="AR35" s="517">
        <v>0.25</v>
      </c>
      <c r="AS35" s="522" t="s">
        <v>181</v>
      </c>
      <c r="AT35" s="518">
        <v>12500000000</v>
      </c>
      <c r="AU35" s="524"/>
      <c r="AV35" s="524"/>
      <c r="AW35" s="523">
        <f t="shared" si="21"/>
        <v>0</v>
      </c>
      <c r="AX35" s="523">
        <f t="shared" si="22"/>
        <v>0</v>
      </c>
      <c r="AY35" s="523">
        <f t="shared" si="23"/>
        <v>0</v>
      </c>
      <c r="AZ35" s="523">
        <f t="shared" si="24"/>
        <v>0</v>
      </c>
      <c r="BA35" s="523"/>
      <c r="BB35" s="517">
        <v>0.25</v>
      </c>
      <c r="BC35" s="522" t="s">
        <v>181</v>
      </c>
      <c r="BD35" s="518">
        <v>12500000000</v>
      </c>
      <c r="BE35" s="524"/>
      <c r="BF35" s="524"/>
      <c r="BG35" s="517">
        <f t="shared" si="25"/>
        <v>0</v>
      </c>
      <c r="BH35" s="517">
        <f t="shared" si="26"/>
        <v>0</v>
      </c>
      <c r="BI35" s="517">
        <f t="shared" si="27"/>
        <v>0</v>
      </c>
      <c r="BJ35" s="517">
        <f t="shared" si="28"/>
        <v>0</v>
      </c>
      <c r="BK35" s="517"/>
      <c r="BL35" s="580">
        <f t="shared" si="6"/>
        <v>0</v>
      </c>
      <c r="BM35" s="580">
        <f t="shared" si="7"/>
        <v>0</v>
      </c>
      <c r="BN35" s="580">
        <f t="shared" si="8"/>
        <v>0</v>
      </c>
      <c r="BO35" s="580">
        <f t="shared" si="9"/>
        <v>0</v>
      </c>
      <c r="BP35" s="580">
        <f t="shared" si="29"/>
        <v>0</v>
      </c>
      <c r="BQ35" s="580">
        <f t="shared" si="30"/>
        <v>0</v>
      </c>
      <c r="BR35" s="580">
        <f t="shared" si="10"/>
        <v>0</v>
      </c>
      <c r="BS35" s="580">
        <f t="shared" si="11"/>
        <v>0</v>
      </c>
      <c r="BT35" s="525">
        <f t="shared" si="15"/>
        <v>0.58333333333333337</v>
      </c>
      <c r="BU35" s="526" t="str">
        <f t="shared" si="31"/>
        <v>Fortalecimientos Patrimonial a las Entidades del Sector salud</v>
      </c>
      <c r="BV35" s="527">
        <f t="shared" si="13"/>
        <v>29166666666.666668</v>
      </c>
      <c r="BW35" s="524"/>
      <c r="BX35" s="524"/>
      <c r="BY35" s="524"/>
      <c r="BZ35" s="524"/>
      <c r="CA35" s="524"/>
      <c r="CB35" s="524"/>
      <c r="CC35" s="524"/>
    </row>
    <row r="36" spans="1:81" s="457" customFormat="1" ht="63.75" x14ac:dyDescent="0.25">
      <c r="A36" s="513">
        <v>11300</v>
      </c>
      <c r="B36" s="514" t="s">
        <v>4</v>
      </c>
      <c r="C36" s="515" t="s">
        <v>160</v>
      </c>
      <c r="D36" s="514" t="s">
        <v>145</v>
      </c>
      <c r="E36" s="515" t="s">
        <v>578</v>
      </c>
      <c r="F36" s="514" t="s">
        <v>574</v>
      </c>
      <c r="G36" s="516" t="s">
        <v>124</v>
      </c>
      <c r="H36" s="515">
        <v>12</v>
      </c>
      <c r="I36" s="515" t="s">
        <v>579</v>
      </c>
      <c r="J36" s="514" t="s">
        <v>245</v>
      </c>
      <c r="K36" s="518">
        <v>61642068</v>
      </c>
      <c r="L36" s="519">
        <v>1</v>
      </c>
      <c r="M36" s="514" t="s">
        <v>46</v>
      </c>
      <c r="N36" s="514" t="s">
        <v>68</v>
      </c>
      <c r="O36" s="514" t="s">
        <v>21</v>
      </c>
      <c r="P36" s="514" t="s">
        <v>36</v>
      </c>
      <c r="Q36" s="514" t="s">
        <v>213</v>
      </c>
      <c r="R36" s="514" t="s">
        <v>626</v>
      </c>
      <c r="S36" s="514" t="s">
        <v>99</v>
      </c>
      <c r="T36" s="555">
        <v>12</v>
      </c>
      <c r="U36" s="520" t="str">
        <f t="shared" si="16"/>
        <v>Realizar Informes de Ejecución Presupuestal</v>
      </c>
      <c r="V36" s="521">
        <f t="shared" si="17"/>
        <v>61642068</v>
      </c>
      <c r="W36" s="522" t="s">
        <v>114</v>
      </c>
      <c r="X36" s="547">
        <v>3</v>
      </c>
      <c r="Y36" s="522" t="s">
        <v>245</v>
      </c>
      <c r="Z36" s="518">
        <f>+V36*0.25</f>
        <v>15410517</v>
      </c>
      <c r="AA36" s="607">
        <v>3</v>
      </c>
      <c r="AB36" s="518">
        <v>7705259</v>
      </c>
      <c r="AC36" s="523">
        <f t="shared" si="18"/>
        <v>1</v>
      </c>
      <c r="AD36" s="523">
        <f t="shared" si="19"/>
        <v>0.50000003244537483</v>
      </c>
      <c r="AE36" s="523">
        <f t="shared" si="14"/>
        <v>0.25</v>
      </c>
      <c r="AF36" s="523">
        <f t="shared" si="0"/>
        <v>0.12500000811134371</v>
      </c>
      <c r="AG36" s="528" t="s">
        <v>894</v>
      </c>
      <c r="AH36" s="547">
        <v>3</v>
      </c>
      <c r="AI36" s="522" t="s">
        <v>245</v>
      </c>
      <c r="AJ36" s="518">
        <v>15410517</v>
      </c>
      <c r="AK36" s="524"/>
      <c r="AL36" s="524"/>
      <c r="AM36" s="523">
        <f t="shared" si="20"/>
        <v>0</v>
      </c>
      <c r="AN36" s="523">
        <f t="shared" si="1"/>
        <v>0</v>
      </c>
      <c r="AO36" s="523">
        <f t="shared" si="2"/>
        <v>0.25</v>
      </c>
      <c r="AP36" s="523">
        <f t="shared" si="3"/>
        <v>0.12500000811134371</v>
      </c>
      <c r="AQ36" s="523"/>
      <c r="AR36" s="547">
        <v>3</v>
      </c>
      <c r="AS36" s="522" t="s">
        <v>245</v>
      </c>
      <c r="AT36" s="518">
        <v>15410517</v>
      </c>
      <c r="AU36" s="524"/>
      <c r="AV36" s="524"/>
      <c r="AW36" s="523">
        <f t="shared" si="21"/>
        <v>0</v>
      </c>
      <c r="AX36" s="523">
        <f t="shared" si="22"/>
        <v>0</v>
      </c>
      <c r="AY36" s="523">
        <f t="shared" si="23"/>
        <v>0.25</v>
      </c>
      <c r="AZ36" s="523">
        <f t="shared" si="24"/>
        <v>0.12500000811134371</v>
      </c>
      <c r="BA36" s="523"/>
      <c r="BB36" s="547">
        <v>3</v>
      </c>
      <c r="BC36" s="522" t="s">
        <v>245</v>
      </c>
      <c r="BD36" s="518">
        <v>15410517</v>
      </c>
      <c r="BE36" s="524"/>
      <c r="BF36" s="524"/>
      <c r="BG36" s="517">
        <f t="shared" si="25"/>
        <v>0</v>
      </c>
      <c r="BH36" s="517">
        <f t="shared" si="26"/>
        <v>0</v>
      </c>
      <c r="BI36" s="517">
        <f t="shared" si="27"/>
        <v>0.25</v>
      </c>
      <c r="BJ36" s="517">
        <f t="shared" si="28"/>
        <v>0.12500000811134371</v>
      </c>
      <c r="BK36" s="517"/>
      <c r="BL36" s="580">
        <f t="shared" si="6"/>
        <v>1</v>
      </c>
      <c r="BM36" s="580">
        <f t="shared" si="7"/>
        <v>0.50000003244537483</v>
      </c>
      <c r="BN36" s="580">
        <f t="shared" si="8"/>
        <v>0</v>
      </c>
      <c r="BO36" s="580">
        <f t="shared" si="9"/>
        <v>0</v>
      </c>
      <c r="BP36" s="580">
        <f t="shared" si="29"/>
        <v>0</v>
      </c>
      <c r="BQ36" s="580">
        <f t="shared" si="30"/>
        <v>0</v>
      </c>
      <c r="BR36" s="580">
        <f t="shared" si="10"/>
        <v>0</v>
      </c>
      <c r="BS36" s="580">
        <f t="shared" si="11"/>
        <v>0</v>
      </c>
      <c r="BT36" s="553">
        <f t="shared" si="15"/>
        <v>7</v>
      </c>
      <c r="BU36" s="526" t="str">
        <f t="shared" si="31"/>
        <v>Realizar Informes de Ejecución Presupuestal</v>
      </c>
      <c r="BV36" s="527">
        <f t="shared" si="13"/>
        <v>35957873</v>
      </c>
      <c r="BW36" s="524"/>
      <c r="BX36" s="524"/>
      <c r="BY36" s="524"/>
      <c r="BZ36" s="524"/>
      <c r="CA36" s="524"/>
      <c r="CB36" s="524"/>
      <c r="CC36" s="524"/>
    </row>
    <row r="37" spans="1:81" s="457" customFormat="1" ht="140.25" x14ac:dyDescent="0.25">
      <c r="A37" s="513">
        <v>11300</v>
      </c>
      <c r="B37" s="514" t="s">
        <v>4</v>
      </c>
      <c r="C37" s="515" t="s">
        <v>160</v>
      </c>
      <c r="D37" s="514" t="s">
        <v>145</v>
      </c>
      <c r="E37" s="515" t="s">
        <v>580</v>
      </c>
      <c r="F37" s="514" t="s">
        <v>246</v>
      </c>
      <c r="G37" s="516" t="s">
        <v>123</v>
      </c>
      <c r="H37" s="519">
        <v>1</v>
      </c>
      <c r="I37" s="515" t="s">
        <v>581</v>
      </c>
      <c r="J37" s="514" t="s">
        <v>247</v>
      </c>
      <c r="K37" s="518">
        <v>243106560</v>
      </c>
      <c r="L37" s="519">
        <v>1</v>
      </c>
      <c r="M37" s="514" t="s">
        <v>46</v>
      </c>
      <c r="N37" s="514" t="s">
        <v>68</v>
      </c>
      <c r="O37" s="514" t="s">
        <v>21</v>
      </c>
      <c r="P37" s="514" t="s">
        <v>36</v>
      </c>
      <c r="Q37" s="514" t="s">
        <v>214</v>
      </c>
      <c r="R37" s="514" t="s">
        <v>594</v>
      </c>
      <c r="S37" s="514" t="s">
        <v>99</v>
      </c>
      <c r="T37" s="519">
        <v>1</v>
      </c>
      <c r="U37" s="520" t="str">
        <f t="shared" si="16"/>
        <v>Seguimiento e identificación del Recaudo</v>
      </c>
      <c r="V37" s="521">
        <f t="shared" si="17"/>
        <v>243106560</v>
      </c>
      <c r="W37" s="522" t="s">
        <v>114</v>
      </c>
      <c r="X37" s="517">
        <v>0.25</v>
      </c>
      <c r="Y37" s="522" t="s">
        <v>247</v>
      </c>
      <c r="Z37" s="518">
        <v>60776640</v>
      </c>
      <c r="AA37" s="517">
        <f>(96011/96133)*0.25</f>
        <v>0.24968273121612766</v>
      </c>
      <c r="AB37" s="518">
        <v>52114979</v>
      </c>
      <c r="AC37" s="523">
        <f t="shared" si="18"/>
        <v>0.99873092486451065</v>
      </c>
      <c r="AD37" s="523">
        <f t="shared" si="19"/>
        <v>0.8574837141375371</v>
      </c>
      <c r="AE37" s="523">
        <f t="shared" si="14"/>
        <v>0.24968273121612766</v>
      </c>
      <c r="AF37" s="523">
        <f t="shared" si="0"/>
        <v>0.21437092853438428</v>
      </c>
      <c r="AG37" s="528" t="s">
        <v>915</v>
      </c>
      <c r="AH37" s="517">
        <v>0.25</v>
      </c>
      <c r="AI37" s="522" t="s">
        <v>247</v>
      </c>
      <c r="AJ37" s="518">
        <v>60776640</v>
      </c>
      <c r="AK37" s="524"/>
      <c r="AL37" s="524"/>
      <c r="AM37" s="523">
        <f t="shared" si="20"/>
        <v>0</v>
      </c>
      <c r="AN37" s="523">
        <f t="shared" si="1"/>
        <v>0</v>
      </c>
      <c r="AO37" s="523">
        <f t="shared" si="2"/>
        <v>0.24968273121612766</v>
      </c>
      <c r="AP37" s="523">
        <f t="shared" si="3"/>
        <v>0.21437092853438428</v>
      </c>
      <c r="AQ37" s="523"/>
      <c r="AR37" s="517">
        <v>0.25</v>
      </c>
      <c r="AS37" s="522" t="s">
        <v>247</v>
      </c>
      <c r="AT37" s="518">
        <v>60776640</v>
      </c>
      <c r="AU37" s="524"/>
      <c r="AV37" s="524"/>
      <c r="AW37" s="523">
        <f t="shared" si="21"/>
        <v>0</v>
      </c>
      <c r="AX37" s="523">
        <f t="shared" si="22"/>
        <v>0</v>
      </c>
      <c r="AY37" s="523">
        <f t="shared" si="23"/>
        <v>0.24968273121612766</v>
      </c>
      <c r="AZ37" s="523">
        <f t="shared" si="24"/>
        <v>0.21437092853438428</v>
      </c>
      <c r="BA37" s="523"/>
      <c r="BB37" s="517">
        <v>0.25</v>
      </c>
      <c r="BC37" s="522" t="s">
        <v>247</v>
      </c>
      <c r="BD37" s="518">
        <v>60776640</v>
      </c>
      <c r="BE37" s="524"/>
      <c r="BF37" s="524"/>
      <c r="BG37" s="517">
        <f t="shared" si="25"/>
        <v>0</v>
      </c>
      <c r="BH37" s="517">
        <f t="shared" si="26"/>
        <v>0</v>
      </c>
      <c r="BI37" s="517">
        <f t="shared" si="27"/>
        <v>0.24968273121612766</v>
      </c>
      <c r="BJ37" s="517">
        <f t="shared" si="28"/>
        <v>0.21437092853438428</v>
      </c>
      <c r="BK37" s="517"/>
      <c r="BL37" s="580">
        <f t="shared" si="6"/>
        <v>0.99873092486451065</v>
      </c>
      <c r="BM37" s="580">
        <f t="shared" si="7"/>
        <v>0.8574837141375371</v>
      </c>
      <c r="BN37" s="580">
        <f t="shared" si="8"/>
        <v>0</v>
      </c>
      <c r="BO37" s="580">
        <f t="shared" si="9"/>
        <v>0</v>
      </c>
      <c r="BP37" s="580">
        <f t="shared" si="29"/>
        <v>0</v>
      </c>
      <c r="BQ37" s="580">
        <f t="shared" si="30"/>
        <v>0</v>
      </c>
      <c r="BR37" s="580">
        <f t="shared" si="10"/>
        <v>0</v>
      </c>
      <c r="BS37" s="580">
        <f t="shared" si="11"/>
        <v>0</v>
      </c>
      <c r="BT37" s="525">
        <f t="shared" si="15"/>
        <v>0.58333333333333337</v>
      </c>
      <c r="BU37" s="526" t="str">
        <f t="shared" si="31"/>
        <v>Seguimiento e identificación del Recaudo</v>
      </c>
      <c r="BV37" s="527">
        <f t="shared" si="13"/>
        <v>141812160</v>
      </c>
      <c r="BW37" s="524"/>
      <c r="BX37" s="524"/>
      <c r="BY37" s="524"/>
      <c r="BZ37" s="524"/>
      <c r="CA37" s="524"/>
      <c r="CB37" s="524"/>
      <c r="CC37" s="524"/>
    </row>
    <row r="38" spans="1:81" s="457" customFormat="1" ht="76.5" x14ac:dyDescent="0.25">
      <c r="A38" s="513">
        <v>11300</v>
      </c>
      <c r="B38" s="514" t="s">
        <v>4</v>
      </c>
      <c r="C38" s="515" t="s">
        <v>160</v>
      </c>
      <c r="D38" s="514" t="s">
        <v>145</v>
      </c>
      <c r="E38" s="515" t="s">
        <v>580</v>
      </c>
      <c r="F38" s="514" t="s">
        <v>246</v>
      </c>
      <c r="G38" s="516" t="s">
        <v>124</v>
      </c>
      <c r="H38" s="548">
        <v>12</v>
      </c>
      <c r="I38" s="515" t="s">
        <v>582</v>
      </c>
      <c r="J38" s="514" t="s">
        <v>575</v>
      </c>
      <c r="K38" s="518">
        <v>0</v>
      </c>
      <c r="L38" s="556">
        <v>1</v>
      </c>
      <c r="M38" s="514" t="s">
        <v>46</v>
      </c>
      <c r="N38" s="514" t="s">
        <v>68</v>
      </c>
      <c r="O38" s="514" t="s">
        <v>21</v>
      </c>
      <c r="P38" s="514" t="s">
        <v>36</v>
      </c>
      <c r="Q38" s="514" t="s">
        <v>214</v>
      </c>
      <c r="R38" s="514" t="s">
        <v>631</v>
      </c>
      <c r="S38" s="514" t="s">
        <v>99</v>
      </c>
      <c r="T38" s="555">
        <v>12</v>
      </c>
      <c r="U38" s="520" t="str">
        <f t="shared" si="16"/>
        <v>Informe Mensual de Recaudo Efectivo</v>
      </c>
      <c r="V38" s="521">
        <f t="shared" si="17"/>
        <v>0</v>
      </c>
      <c r="W38" s="522" t="s">
        <v>117</v>
      </c>
      <c r="X38" s="547">
        <v>3</v>
      </c>
      <c r="Y38" s="522" t="s">
        <v>575</v>
      </c>
      <c r="Z38" s="518">
        <v>0</v>
      </c>
      <c r="AA38" s="547">
        <v>3</v>
      </c>
      <c r="AB38" s="518">
        <v>0</v>
      </c>
      <c r="AC38" s="523">
        <f t="shared" si="18"/>
        <v>1</v>
      </c>
      <c r="AD38" s="523" t="e">
        <f t="shared" si="19"/>
        <v>#DIV/0!</v>
      </c>
      <c r="AE38" s="523">
        <f t="shared" si="14"/>
        <v>0.25</v>
      </c>
      <c r="AF38" s="523" t="e">
        <f t="shared" si="0"/>
        <v>#DIV/0!</v>
      </c>
      <c r="AG38" s="528" t="s">
        <v>916</v>
      </c>
      <c r="AH38" s="547">
        <v>3</v>
      </c>
      <c r="AI38" s="522" t="s">
        <v>575</v>
      </c>
      <c r="AJ38" s="518">
        <v>0</v>
      </c>
      <c r="AK38" s="524"/>
      <c r="AL38" s="524"/>
      <c r="AM38" s="523">
        <f t="shared" si="20"/>
        <v>0</v>
      </c>
      <c r="AN38" s="523" t="e">
        <f t="shared" si="1"/>
        <v>#DIV/0!</v>
      </c>
      <c r="AO38" s="523">
        <f t="shared" si="2"/>
        <v>0.25</v>
      </c>
      <c r="AP38" s="523" t="e">
        <f t="shared" si="3"/>
        <v>#DIV/0!</v>
      </c>
      <c r="AQ38" s="523"/>
      <c r="AR38" s="547">
        <v>3</v>
      </c>
      <c r="AS38" s="522" t="s">
        <v>575</v>
      </c>
      <c r="AT38" s="518">
        <v>0</v>
      </c>
      <c r="AU38" s="524"/>
      <c r="AV38" s="524"/>
      <c r="AW38" s="523">
        <f t="shared" si="21"/>
        <v>0</v>
      </c>
      <c r="AX38" s="523" t="e">
        <f t="shared" si="22"/>
        <v>#DIV/0!</v>
      </c>
      <c r="AY38" s="523">
        <f t="shared" si="23"/>
        <v>0.25</v>
      </c>
      <c r="AZ38" s="523" t="e">
        <f t="shared" si="24"/>
        <v>#DIV/0!</v>
      </c>
      <c r="BA38" s="523"/>
      <c r="BB38" s="547">
        <v>3</v>
      </c>
      <c r="BC38" s="522" t="s">
        <v>575</v>
      </c>
      <c r="BD38" s="518">
        <v>0</v>
      </c>
      <c r="BE38" s="524"/>
      <c r="BF38" s="524"/>
      <c r="BG38" s="517">
        <f t="shared" si="25"/>
        <v>0</v>
      </c>
      <c r="BH38" s="517" t="e">
        <f t="shared" si="26"/>
        <v>#DIV/0!</v>
      </c>
      <c r="BI38" s="517">
        <f t="shared" si="27"/>
        <v>0.25</v>
      </c>
      <c r="BJ38" s="517" t="e">
        <f t="shared" si="28"/>
        <v>#DIV/0!</v>
      </c>
      <c r="BK38" s="517"/>
      <c r="BL38" s="580">
        <f t="shared" si="6"/>
        <v>1</v>
      </c>
      <c r="BM38" s="580" t="str">
        <f t="shared" si="7"/>
        <v>No Prog ni Ejec</v>
      </c>
      <c r="BN38" s="580">
        <f t="shared" si="8"/>
        <v>0</v>
      </c>
      <c r="BO38" s="580" t="str">
        <f t="shared" si="9"/>
        <v>No Prog ni Ejec</v>
      </c>
      <c r="BP38" s="580">
        <f t="shared" si="29"/>
        <v>0</v>
      </c>
      <c r="BQ38" s="580" t="str">
        <f t="shared" si="30"/>
        <v>No Prog ni Ejec</v>
      </c>
      <c r="BR38" s="580">
        <f t="shared" si="10"/>
        <v>0</v>
      </c>
      <c r="BS38" s="580" t="str">
        <f t="shared" si="11"/>
        <v>No Prog ni Ejec</v>
      </c>
      <c r="BT38" s="553">
        <f t="shared" si="15"/>
        <v>7</v>
      </c>
      <c r="BU38" s="526" t="str">
        <f t="shared" si="31"/>
        <v>Informe Mensual de Recaudo Efectivo</v>
      </c>
      <c r="BV38" s="527">
        <f t="shared" si="13"/>
        <v>0</v>
      </c>
      <c r="BW38" s="524"/>
      <c r="BX38" s="524"/>
      <c r="BY38" s="524"/>
      <c r="BZ38" s="524"/>
      <c r="CA38" s="524"/>
      <c r="CB38" s="524"/>
      <c r="CC38" s="524"/>
    </row>
    <row r="39" spans="1:81" s="457" customFormat="1" ht="51" x14ac:dyDescent="0.25">
      <c r="A39" s="513">
        <v>11300</v>
      </c>
      <c r="B39" s="514" t="s">
        <v>4</v>
      </c>
      <c r="C39" s="515" t="s">
        <v>160</v>
      </c>
      <c r="D39" s="514" t="s">
        <v>145</v>
      </c>
      <c r="E39" s="515" t="s">
        <v>580</v>
      </c>
      <c r="F39" s="514" t="s">
        <v>246</v>
      </c>
      <c r="G39" s="516" t="s">
        <v>123</v>
      </c>
      <c r="H39" s="519">
        <v>1</v>
      </c>
      <c r="I39" s="515" t="s">
        <v>583</v>
      </c>
      <c r="J39" s="514" t="s">
        <v>248</v>
      </c>
      <c r="K39" s="518">
        <v>0</v>
      </c>
      <c r="L39" s="519">
        <v>1</v>
      </c>
      <c r="M39" s="514" t="s">
        <v>46</v>
      </c>
      <c r="N39" s="514" t="s">
        <v>68</v>
      </c>
      <c r="O39" s="514" t="s">
        <v>21</v>
      </c>
      <c r="P39" s="514" t="s">
        <v>36</v>
      </c>
      <c r="Q39" s="514" t="s">
        <v>214</v>
      </c>
      <c r="R39" s="514" t="s">
        <v>249</v>
      </c>
      <c r="S39" s="514" t="s">
        <v>99</v>
      </c>
      <c r="T39" s="519">
        <v>1</v>
      </c>
      <c r="U39" s="520" t="str">
        <f t="shared" si="16"/>
        <v>Seguimiento a Partidas Sin Identificar</v>
      </c>
      <c r="V39" s="521">
        <f t="shared" si="17"/>
        <v>0</v>
      </c>
      <c r="W39" s="522" t="s">
        <v>117</v>
      </c>
      <c r="X39" s="517">
        <v>0.25</v>
      </c>
      <c r="Y39" s="522" t="s">
        <v>248</v>
      </c>
      <c r="Z39" s="518">
        <v>0</v>
      </c>
      <c r="AA39" s="517">
        <f>+(8869173118.39/10815134235.05)*25%</f>
        <v>0.20501763837675097</v>
      </c>
      <c r="AB39" s="518">
        <v>0</v>
      </c>
      <c r="AC39" s="523">
        <f t="shared" si="18"/>
        <v>0.82007055350700386</v>
      </c>
      <c r="AD39" s="523" t="e">
        <f t="shared" si="19"/>
        <v>#DIV/0!</v>
      </c>
      <c r="AE39" s="523">
        <f t="shared" si="14"/>
        <v>0.20501763837675097</v>
      </c>
      <c r="AF39" s="523" t="e">
        <f t="shared" si="0"/>
        <v>#DIV/0!</v>
      </c>
      <c r="AG39" s="528" t="s">
        <v>917</v>
      </c>
      <c r="AH39" s="517">
        <v>0.25</v>
      </c>
      <c r="AI39" s="522" t="s">
        <v>248</v>
      </c>
      <c r="AJ39" s="518">
        <v>0</v>
      </c>
      <c r="AK39" s="524"/>
      <c r="AL39" s="524"/>
      <c r="AM39" s="523">
        <f t="shared" si="20"/>
        <v>0</v>
      </c>
      <c r="AN39" s="523" t="e">
        <f t="shared" si="1"/>
        <v>#DIV/0!</v>
      </c>
      <c r="AO39" s="523">
        <f t="shared" si="2"/>
        <v>0.20501763837675097</v>
      </c>
      <c r="AP39" s="523" t="e">
        <f t="shared" si="3"/>
        <v>#DIV/0!</v>
      </c>
      <c r="AQ39" s="523"/>
      <c r="AR39" s="517">
        <v>0.25</v>
      </c>
      <c r="AS39" s="522" t="s">
        <v>248</v>
      </c>
      <c r="AT39" s="518">
        <v>0</v>
      </c>
      <c r="AU39" s="524"/>
      <c r="AV39" s="524"/>
      <c r="AW39" s="523">
        <f t="shared" si="21"/>
        <v>0</v>
      </c>
      <c r="AX39" s="523" t="e">
        <f t="shared" si="22"/>
        <v>#DIV/0!</v>
      </c>
      <c r="AY39" s="523">
        <f t="shared" si="23"/>
        <v>0.20501763837675097</v>
      </c>
      <c r="AZ39" s="523" t="e">
        <f t="shared" si="24"/>
        <v>#DIV/0!</v>
      </c>
      <c r="BA39" s="523"/>
      <c r="BB39" s="517">
        <v>0.25</v>
      </c>
      <c r="BC39" s="522" t="s">
        <v>248</v>
      </c>
      <c r="BD39" s="518">
        <v>0</v>
      </c>
      <c r="BE39" s="524"/>
      <c r="BF39" s="524"/>
      <c r="BG39" s="517">
        <f t="shared" si="25"/>
        <v>0</v>
      </c>
      <c r="BH39" s="517" t="e">
        <f t="shared" si="26"/>
        <v>#DIV/0!</v>
      </c>
      <c r="BI39" s="517">
        <f t="shared" si="27"/>
        <v>0.20501763837675097</v>
      </c>
      <c r="BJ39" s="517" t="e">
        <f t="shared" si="28"/>
        <v>#DIV/0!</v>
      </c>
      <c r="BK39" s="517"/>
      <c r="BL39" s="580">
        <f t="shared" si="6"/>
        <v>0.82007055350700386</v>
      </c>
      <c r="BM39" s="580" t="str">
        <f t="shared" si="7"/>
        <v>No Prog ni Ejec</v>
      </c>
      <c r="BN39" s="580">
        <f t="shared" si="8"/>
        <v>0</v>
      </c>
      <c r="BO39" s="580" t="str">
        <f t="shared" si="9"/>
        <v>No Prog ni Ejec</v>
      </c>
      <c r="BP39" s="580">
        <f t="shared" si="29"/>
        <v>0</v>
      </c>
      <c r="BQ39" s="580" t="str">
        <f t="shared" si="30"/>
        <v>No Prog ni Ejec</v>
      </c>
      <c r="BR39" s="580">
        <f t="shared" si="10"/>
        <v>0</v>
      </c>
      <c r="BS39" s="580" t="str">
        <f t="shared" si="11"/>
        <v>No Prog ni Ejec</v>
      </c>
      <c r="BT39" s="525">
        <f t="shared" si="15"/>
        <v>0.58333333333333337</v>
      </c>
      <c r="BU39" s="526" t="str">
        <f t="shared" si="31"/>
        <v>Seguimiento a Partidas Sin Identificar</v>
      </c>
      <c r="BV39" s="527">
        <f t="shared" si="13"/>
        <v>0</v>
      </c>
      <c r="BW39" s="524"/>
      <c r="BX39" s="524"/>
      <c r="BY39" s="524"/>
      <c r="BZ39" s="524"/>
      <c r="CA39" s="524"/>
      <c r="CB39" s="524"/>
      <c r="CC39" s="524"/>
    </row>
    <row r="40" spans="1:81" s="457" customFormat="1" ht="51" x14ac:dyDescent="0.25">
      <c r="A40" s="513">
        <v>11300</v>
      </c>
      <c r="B40" s="514" t="s">
        <v>4</v>
      </c>
      <c r="C40" s="515" t="s">
        <v>160</v>
      </c>
      <c r="D40" s="514" t="s">
        <v>145</v>
      </c>
      <c r="E40" s="515" t="s">
        <v>584</v>
      </c>
      <c r="F40" s="514" t="s">
        <v>251</v>
      </c>
      <c r="G40" s="516" t="s">
        <v>123</v>
      </c>
      <c r="H40" s="519">
        <v>1</v>
      </c>
      <c r="I40" s="515" t="s">
        <v>585</v>
      </c>
      <c r="J40" s="514" t="s">
        <v>250</v>
      </c>
      <c r="K40" s="518">
        <v>292066560</v>
      </c>
      <c r="L40" s="519">
        <v>1</v>
      </c>
      <c r="M40" s="514" t="s">
        <v>46</v>
      </c>
      <c r="N40" s="514" t="s">
        <v>68</v>
      </c>
      <c r="O40" s="514" t="s">
        <v>21</v>
      </c>
      <c r="P40" s="514" t="s">
        <v>36</v>
      </c>
      <c r="Q40" s="514" t="s">
        <v>215</v>
      </c>
      <c r="R40" s="514" t="s">
        <v>595</v>
      </c>
      <c r="S40" s="514" t="s">
        <v>99</v>
      </c>
      <c r="T40" s="517">
        <v>1</v>
      </c>
      <c r="U40" s="520" t="str">
        <f t="shared" si="16"/>
        <v>Ordenes de Giros tramitadas</v>
      </c>
      <c r="V40" s="521">
        <f t="shared" si="17"/>
        <v>292066560</v>
      </c>
      <c r="W40" s="522" t="s">
        <v>114</v>
      </c>
      <c r="X40" s="517">
        <v>0.25</v>
      </c>
      <c r="Y40" s="522" t="s">
        <v>250</v>
      </c>
      <c r="Z40" s="518">
        <v>73016640</v>
      </c>
      <c r="AA40" s="517">
        <f>(1319/1319)*25%</f>
        <v>0.25</v>
      </c>
      <c r="AB40" s="518">
        <v>63795769</v>
      </c>
      <c r="AC40" s="523">
        <f t="shared" si="18"/>
        <v>1</v>
      </c>
      <c r="AD40" s="523">
        <f t="shared" si="19"/>
        <v>0.87371548457995329</v>
      </c>
      <c r="AE40" s="523">
        <f t="shared" si="14"/>
        <v>0.25</v>
      </c>
      <c r="AF40" s="523">
        <f t="shared" si="0"/>
        <v>0.21842887114498832</v>
      </c>
      <c r="AG40" s="523"/>
      <c r="AH40" s="517">
        <v>0.25</v>
      </c>
      <c r="AI40" s="522" t="s">
        <v>250</v>
      </c>
      <c r="AJ40" s="518">
        <v>73016640</v>
      </c>
      <c r="AK40" s="524"/>
      <c r="AL40" s="524"/>
      <c r="AM40" s="523">
        <f t="shared" si="20"/>
        <v>0</v>
      </c>
      <c r="AN40" s="523">
        <f t="shared" si="1"/>
        <v>0</v>
      </c>
      <c r="AO40" s="523">
        <f t="shared" si="2"/>
        <v>0.25</v>
      </c>
      <c r="AP40" s="523">
        <f t="shared" si="3"/>
        <v>0.21842887114498832</v>
      </c>
      <c r="AQ40" s="523"/>
      <c r="AR40" s="517">
        <v>0.25</v>
      </c>
      <c r="AS40" s="522" t="s">
        <v>250</v>
      </c>
      <c r="AT40" s="518">
        <v>73016640</v>
      </c>
      <c r="AU40" s="524"/>
      <c r="AV40" s="524"/>
      <c r="AW40" s="523">
        <f t="shared" si="21"/>
        <v>0</v>
      </c>
      <c r="AX40" s="523">
        <f t="shared" si="22"/>
        <v>0</v>
      </c>
      <c r="AY40" s="523">
        <f t="shared" si="23"/>
        <v>0.25</v>
      </c>
      <c r="AZ40" s="523">
        <f t="shared" si="24"/>
        <v>0.21842887114498832</v>
      </c>
      <c r="BA40" s="523"/>
      <c r="BB40" s="517">
        <v>0.25</v>
      </c>
      <c r="BC40" s="522" t="s">
        <v>250</v>
      </c>
      <c r="BD40" s="518">
        <v>73016640</v>
      </c>
      <c r="BE40" s="524"/>
      <c r="BF40" s="524"/>
      <c r="BG40" s="517">
        <f t="shared" si="25"/>
        <v>0</v>
      </c>
      <c r="BH40" s="517">
        <f t="shared" si="26"/>
        <v>0</v>
      </c>
      <c r="BI40" s="517">
        <f t="shared" si="27"/>
        <v>0.25</v>
      </c>
      <c r="BJ40" s="517">
        <f t="shared" si="28"/>
        <v>0.21842887114498832</v>
      </c>
      <c r="BK40" s="517"/>
      <c r="BL40" s="580">
        <f t="shared" si="6"/>
        <v>1</v>
      </c>
      <c r="BM40" s="580">
        <f t="shared" si="7"/>
        <v>0.87371548457995329</v>
      </c>
      <c r="BN40" s="580">
        <f t="shared" si="8"/>
        <v>0</v>
      </c>
      <c r="BO40" s="580">
        <f t="shared" si="9"/>
        <v>0</v>
      </c>
      <c r="BP40" s="580">
        <f t="shared" si="29"/>
        <v>0</v>
      </c>
      <c r="BQ40" s="580">
        <f t="shared" si="30"/>
        <v>0</v>
      </c>
      <c r="BR40" s="580">
        <f t="shared" si="10"/>
        <v>0</v>
      </c>
      <c r="BS40" s="580">
        <f t="shared" si="11"/>
        <v>0</v>
      </c>
      <c r="BT40" s="525">
        <f t="shared" si="15"/>
        <v>0.58333333333333337</v>
      </c>
      <c r="BU40" s="526" t="str">
        <f t="shared" si="31"/>
        <v>Ordenes de Giros tramitadas</v>
      </c>
      <c r="BV40" s="527">
        <f t="shared" si="13"/>
        <v>170372160</v>
      </c>
      <c r="BW40" s="524"/>
      <c r="BX40" s="524"/>
      <c r="BY40" s="524"/>
      <c r="BZ40" s="524"/>
      <c r="CA40" s="524"/>
      <c r="CB40" s="524"/>
      <c r="CC40" s="524"/>
    </row>
    <row r="41" spans="1:81" s="457" customFormat="1" ht="51" x14ac:dyDescent="0.25">
      <c r="A41" s="513">
        <v>11300</v>
      </c>
      <c r="B41" s="514" t="s">
        <v>4</v>
      </c>
      <c r="C41" s="515" t="s">
        <v>160</v>
      </c>
      <c r="D41" s="514" t="s">
        <v>145</v>
      </c>
      <c r="E41" s="515" t="s">
        <v>586</v>
      </c>
      <c r="F41" s="514" t="s">
        <v>252</v>
      </c>
      <c r="G41" s="516" t="s">
        <v>123</v>
      </c>
      <c r="H41" s="519">
        <v>1</v>
      </c>
      <c r="I41" s="515" t="s">
        <v>587</v>
      </c>
      <c r="J41" s="514" t="s">
        <v>957</v>
      </c>
      <c r="K41" s="518">
        <v>48960000</v>
      </c>
      <c r="L41" s="519">
        <v>1</v>
      </c>
      <c r="M41" s="514" t="s">
        <v>46</v>
      </c>
      <c r="N41" s="514" t="s">
        <v>68</v>
      </c>
      <c r="O41" s="514" t="s">
        <v>21</v>
      </c>
      <c r="P41" s="514" t="s">
        <v>36</v>
      </c>
      <c r="Q41" s="514" t="s">
        <v>215</v>
      </c>
      <c r="R41" s="514" t="s">
        <v>596</v>
      </c>
      <c r="S41" s="514" t="s">
        <v>99</v>
      </c>
      <c r="T41" s="517">
        <v>1</v>
      </c>
      <c r="U41" s="520" t="str">
        <f t="shared" si="16"/>
        <v>Informes</v>
      </c>
      <c r="V41" s="521">
        <f t="shared" si="17"/>
        <v>48960000</v>
      </c>
      <c r="W41" s="522" t="s">
        <v>114</v>
      </c>
      <c r="X41" s="517">
        <v>0.25</v>
      </c>
      <c r="Y41" s="529" t="str">
        <f>+U41</f>
        <v>Informes</v>
      </c>
      <c r="Z41" s="518">
        <v>12240000</v>
      </c>
      <c r="AA41" s="603">
        <f>(60/60)*25%</f>
        <v>0.25</v>
      </c>
      <c r="AB41" s="518">
        <v>10744000</v>
      </c>
      <c r="AC41" s="523">
        <f t="shared" si="18"/>
        <v>1</v>
      </c>
      <c r="AD41" s="523">
        <f t="shared" si="19"/>
        <v>0.87777777777777777</v>
      </c>
      <c r="AE41" s="523">
        <f t="shared" si="14"/>
        <v>0.25</v>
      </c>
      <c r="AF41" s="523">
        <f t="shared" si="0"/>
        <v>0.21944444444444444</v>
      </c>
      <c r="AG41" s="523"/>
      <c r="AH41" s="517">
        <v>0.25</v>
      </c>
      <c r="AI41" s="529" t="str">
        <f>+U41</f>
        <v>Informes</v>
      </c>
      <c r="AJ41" s="518">
        <v>12240000</v>
      </c>
      <c r="AK41" s="524"/>
      <c r="AL41" s="524"/>
      <c r="AM41" s="523">
        <f t="shared" si="20"/>
        <v>0</v>
      </c>
      <c r="AN41" s="523">
        <f t="shared" si="1"/>
        <v>0</v>
      </c>
      <c r="AO41" s="523">
        <f t="shared" si="2"/>
        <v>0.25</v>
      </c>
      <c r="AP41" s="523">
        <f t="shared" si="3"/>
        <v>0.21944444444444444</v>
      </c>
      <c r="AQ41" s="523"/>
      <c r="AR41" s="517">
        <v>0.25</v>
      </c>
      <c r="AS41" s="529" t="str">
        <f>+U41</f>
        <v>Informes</v>
      </c>
      <c r="AT41" s="518">
        <v>12240000</v>
      </c>
      <c r="AU41" s="524"/>
      <c r="AV41" s="524"/>
      <c r="AW41" s="523">
        <f t="shared" si="21"/>
        <v>0</v>
      </c>
      <c r="AX41" s="523">
        <f t="shared" si="22"/>
        <v>0</v>
      </c>
      <c r="AY41" s="523">
        <f t="shared" si="23"/>
        <v>0.25</v>
      </c>
      <c r="AZ41" s="523">
        <f t="shared" si="24"/>
        <v>0.21944444444444444</v>
      </c>
      <c r="BA41" s="523"/>
      <c r="BB41" s="517">
        <v>0.25</v>
      </c>
      <c r="BC41" s="529" t="str">
        <f>+U41</f>
        <v>Informes</v>
      </c>
      <c r="BD41" s="518">
        <v>12240000</v>
      </c>
      <c r="BE41" s="524"/>
      <c r="BF41" s="524"/>
      <c r="BG41" s="517">
        <f t="shared" si="25"/>
        <v>0</v>
      </c>
      <c r="BH41" s="517">
        <f t="shared" si="26"/>
        <v>0</v>
      </c>
      <c r="BI41" s="517">
        <f t="shared" si="27"/>
        <v>0.25</v>
      </c>
      <c r="BJ41" s="517">
        <f t="shared" si="28"/>
        <v>0.21944444444444444</v>
      </c>
      <c r="BK41" s="517"/>
      <c r="BL41" s="580">
        <f t="shared" si="6"/>
        <v>1</v>
      </c>
      <c r="BM41" s="580">
        <f t="shared" si="7"/>
        <v>0.87777777777777777</v>
      </c>
      <c r="BN41" s="580">
        <f t="shared" si="8"/>
        <v>0</v>
      </c>
      <c r="BO41" s="580">
        <f t="shared" si="9"/>
        <v>0</v>
      </c>
      <c r="BP41" s="580">
        <f t="shared" si="29"/>
        <v>0</v>
      </c>
      <c r="BQ41" s="580">
        <f t="shared" si="30"/>
        <v>0</v>
      </c>
      <c r="BR41" s="580">
        <f t="shared" si="10"/>
        <v>0</v>
      </c>
      <c r="BS41" s="580">
        <f t="shared" si="11"/>
        <v>0</v>
      </c>
      <c r="BT41" s="525">
        <f t="shared" si="15"/>
        <v>0.58333333333333337</v>
      </c>
      <c r="BU41" s="526" t="str">
        <f t="shared" si="31"/>
        <v>Informes</v>
      </c>
      <c r="BV41" s="527">
        <f t="shared" si="13"/>
        <v>28560000</v>
      </c>
      <c r="BW41" s="524"/>
      <c r="BX41" s="524"/>
      <c r="BY41" s="524"/>
      <c r="BZ41" s="524"/>
      <c r="CA41" s="524"/>
      <c r="CB41" s="524"/>
      <c r="CC41" s="524"/>
    </row>
    <row r="42" spans="1:81" s="457" customFormat="1" ht="51" x14ac:dyDescent="0.25">
      <c r="A42" s="513">
        <v>11300</v>
      </c>
      <c r="B42" s="514" t="s">
        <v>4</v>
      </c>
      <c r="C42" s="515" t="s">
        <v>160</v>
      </c>
      <c r="D42" s="514" t="s">
        <v>145</v>
      </c>
      <c r="E42" s="515" t="s">
        <v>588</v>
      </c>
      <c r="F42" s="514" t="s">
        <v>254</v>
      </c>
      <c r="G42" s="516" t="s">
        <v>124</v>
      </c>
      <c r="H42" s="515">
        <v>4</v>
      </c>
      <c r="I42" s="515" t="s">
        <v>589</v>
      </c>
      <c r="J42" s="514" t="s">
        <v>254</v>
      </c>
      <c r="K42" s="518">
        <v>272680404</v>
      </c>
      <c r="L42" s="519">
        <v>1</v>
      </c>
      <c r="M42" s="514" t="s">
        <v>46</v>
      </c>
      <c r="N42" s="514" t="s">
        <v>68</v>
      </c>
      <c r="O42" s="514" t="s">
        <v>21</v>
      </c>
      <c r="P42" s="514" t="s">
        <v>36</v>
      </c>
      <c r="Q42" s="514" t="s">
        <v>215</v>
      </c>
      <c r="R42" s="514" t="s">
        <v>255</v>
      </c>
      <c r="S42" s="514" t="s">
        <v>99</v>
      </c>
      <c r="T42" s="555">
        <v>4</v>
      </c>
      <c r="U42" s="520" t="str">
        <f t="shared" si="16"/>
        <v>Estados Financieros</v>
      </c>
      <c r="V42" s="521">
        <f t="shared" si="17"/>
        <v>272680404</v>
      </c>
      <c r="W42" s="522" t="s">
        <v>114</v>
      </c>
      <c r="X42" s="547">
        <v>1</v>
      </c>
      <c r="Y42" s="522" t="s">
        <v>254</v>
      </c>
      <c r="Z42" s="518">
        <v>68170101</v>
      </c>
      <c r="AA42" s="524">
        <v>1</v>
      </c>
      <c r="AB42" s="518">
        <f>59974199+4080000</f>
        <v>64054199</v>
      </c>
      <c r="AC42" s="523">
        <f t="shared" si="18"/>
        <v>1</v>
      </c>
      <c r="AD42" s="523">
        <f t="shared" si="19"/>
        <v>0.93962306143568719</v>
      </c>
      <c r="AE42" s="523">
        <f t="shared" si="14"/>
        <v>0.25</v>
      </c>
      <c r="AF42" s="523">
        <f t="shared" si="0"/>
        <v>0.2349057653589218</v>
      </c>
      <c r="AG42" s="523"/>
      <c r="AH42" s="547">
        <v>1</v>
      </c>
      <c r="AI42" s="522" t="s">
        <v>254</v>
      </c>
      <c r="AJ42" s="518">
        <v>68170101</v>
      </c>
      <c r="AK42" s="524"/>
      <c r="AL42" s="524"/>
      <c r="AM42" s="523">
        <f t="shared" si="20"/>
        <v>0</v>
      </c>
      <c r="AN42" s="523">
        <f t="shared" si="1"/>
        <v>0</v>
      </c>
      <c r="AO42" s="523">
        <f t="shared" si="2"/>
        <v>0.25</v>
      </c>
      <c r="AP42" s="523">
        <f t="shared" si="3"/>
        <v>0.2349057653589218</v>
      </c>
      <c r="AQ42" s="523"/>
      <c r="AR42" s="547">
        <v>1</v>
      </c>
      <c r="AS42" s="522" t="s">
        <v>254</v>
      </c>
      <c r="AT42" s="518">
        <v>68170101</v>
      </c>
      <c r="AU42" s="524"/>
      <c r="AV42" s="524"/>
      <c r="AW42" s="523">
        <f t="shared" si="21"/>
        <v>0</v>
      </c>
      <c r="AX42" s="523">
        <f t="shared" si="22"/>
        <v>0</v>
      </c>
      <c r="AY42" s="523">
        <f t="shared" si="23"/>
        <v>0.25</v>
      </c>
      <c r="AZ42" s="523">
        <f t="shared" si="24"/>
        <v>0.2349057653589218</v>
      </c>
      <c r="BA42" s="523"/>
      <c r="BB42" s="547">
        <v>1</v>
      </c>
      <c r="BC42" s="522" t="s">
        <v>254</v>
      </c>
      <c r="BD42" s="518">
        <v>68170101</v>
      </c>
      <c r="BE42" s="524"/>
      <c r="BF42" s="524"/>
      <c r="BG42" s="517">
        <f t="shared" si="25"/>
        <v>0</v>
      </c>
      <c r="BH42" s="517">
        <f t="shared" si="26"/>
        <v>0</v>
      </c>
      <c r="BI42" s="517">
        <f t="shared" si="27"/>
        <v>0.25</v>
      </c>
      <c r="BJ42" s="517">
        <f t="shared" si="28"/>
        <v>0.2349057653589218</v>
      </c>
      <c r="BK42" s="517"/>
      <c r="BL42" s="580">
        <f t="shared" si="6"/>
        <v>1</v>
      </c>
      <c r="BM42" s="580">
        <f t="shared" si="7"/>
        <v>0.93962306143568719</v>
      </c>
      <c r="BN42" s="580">
        <f t="shared" si="8"/>
        <v>0</v>
      </c>
      <c r="BO42" s="580">
        <f t="shared" si="9"/>
        <v>0</v>
      </c>
      <c r="BP42" s="580">
        <f t="shared" si="29"/>
        <v>0</v>
      </c>
      <c r="BQ42" s="580">
        <f t="shared" si="30"/>
        <v>0</v>
      </c>
      <c r="BR42" s="580">
        <f t="shared" si="10"/>
        <v>0</v>
      </c>
      <c r="BS42" s="580">
        <f t="shared" si="11"/>
        <v>0</v>
      </c>
      <c r="BT42" s="553">
        <f t="shared" si="15"/>
        <v>2.3333333333333335</v>
      </c>
      <c r="BU42" s="526" t="str">
        <f t="shared" si="31"/>
        <v>Estados Financieros</v>
      </c>
      <c r="BV42" s="527">
        <f t="shared" si="13"/>
        <v>159063569</v>
      </c>
      <c r="BW42" s="524"/>
      <c r="BX42" s="524"/>
      <c r="BY42" s="524"/>
      <c r="BZ42" s="524"/>
      <c r="CA42" s="524"/>
      <c r="CB42" s="524"/>
      <c r="CC42" s="524"/>
    </row>
    <row r="43" spans="1:81" s="457" customFormat="1" ht="51" x14ac:dyDescent="0.25">
      <c r="A43" s="513">
        <v>11300</v>
      </c>
      <c r="B43" s="514" t="s">
        <v>4</v>
      </c>
      <c r="C43" s="515" t="s">
        <v>160</v>
      </c>
      <c r="D43" s="514" t="s">
        <v>145</v>
      </c>
      <c r="E43" s="515" t="s">
        <v>590</v>
      </c>
      <c r="F43" s="514" t="s">
        <v>257</v>
      </c>
      <c r="G43" s="516" t="s">
        <v>124</v>
      </c>
      <c r="H43" s="515">
        <v>4</v>
      </c>
      <c r="I43" s="515" t="s">
        <v>591</v>
      </c>
      <c r="J43" s="514" t="s">
        <v>258</v>
      </c>
      <c r="K43" s="518">
        <v>0</v>
      </c>
      <c r="L43" s="519">
        <v>1</v>
      </c>
      <c r="M43" s="514" t="s">
        <v>46</v>
      </c>
      <c r="N43" s="514" t="s">
        <v>68</v>
      </c>
      <c r="O43" s="514" t="s">
        <v>21</v>
      </c>
      <c r="P43" s="514" t="s">
        <v>36</v>
      </c>
      <c r="Q43" s="514" t="s">
        <v>212</v>
      </c>
      <c r="R43" s="514" t="s">
        <v>137</v>
      </c>
      <c r="S43" s="514" t="s">
        <v>99</v>
      </c>
      <c r="T43" s="555">
        <v>4</v>
      </c>
      <c r="U43" s="520" t="str">
        <f t="shared" si="16"/>
        <v>Informe</v>
      </c>
      <c r="V43" s="521">
        <f t="shared" si="17"/>
        <v>0</v>
      </c>
      <c r="W43" s="522" t="s">
        <v>114</v>
      </c>
      <c r="X43" s="547">
        <v>1</v>
      </c>
      <c r="Y43" s="522" t="s">
        <v>258</v>
      </c>
      <c r="Z43" s="518">
        <v>0</v>
      </c>
      <c r="AA43" s="524">
        <v>1</v>
      </c>
      <c r="AB43" s="527">
        <v>0</v>
      </c>
      <c r="AC43" s="523">
        <f t="shared" si="18"/>
        <v>1</v>
      </c>
      <c r="AD43" s="523" t="e">
        <f t="shared" si="19"/>
        <v>#DIV/0!</v>
      </c>
      <c r="AE43" s="523">
        <f t="shared" si="14"/>
        <v>0.25</v>
      </c>
      <c r="AF43" s="523" t="e">
        <f t="shared" si="0"/>
        <v>#DIV/0!</v>
      </c>
      <c r="AG43" s="528" t="s">
        <v>996</v>
      </c>
      <c r="AH43" s="547">
        <v>1</v>
      </c>
      <c r="AI43" s="522" t="s">
        <v>258</v>
      </c>
      <c r="AJ43" s="518">
        <v>0</v>
      </c>
      <c r="AK43" s="524"/>
      <c r="AL43" s="524"/>
      <c r="AM43" s="523">
        <f t="shared" si="20"/>
        <v>0</v>
      </c>
      <c r="AN43" s="523" t="e">
        <f t="shared" si="1"/>
        <v>#DIV/0!</v>
      </c>
      <c r="AO43" s="523">
        <f t="shared" si="2"/>
        <v>0.25</v>
      </c>
      <c r="AP43" s="523" t="e">
        <f t="shared" si="3"/>
        <v>#DIV/0!</v>
      </c>
      <c r="AQ43" s="523"/>
      <c r="AR43" s="547">
        <v>1</v>
      </c>
      <c r="AS43" s="522" t="s">
        <v>258</v>
      </c>
      <c r="AT43" s="518">
        <v>0</v>
      </c>
      <c r="AU43" s="524"/>
      <c r="AV43" s="524"/>
      <c r="AW43" s="523">
        <f t="shared" si="21"/>
        <v>0</v>
      </c>
      <c r="AX43" s="523" t="e">
        <f t="shared" si="22"/>
        <v>#DIV/0!</v>
      </c>
      <c r="AY43" s="523">
        <f t="shared" si="23"/>
        <v>0.25</v>
      </c>
      <c r="AZ43" s="523" t="e">
        <f t="shared" si="24"/>
        <v>#DIV/0!</v>
      </c>
      <c r="BA43" s="523"/>
      <c r="BB43" s="547">
        <v>1</v>
      </c>
      <c r="BC43" s="522" t="s">
        <v>258</v>
      </c>
      <c r="BD43" s="518">
        <v>0</v>
      </c>
      <c r="BE43" s="524"/>
      <c r="BF43" s="524"/>
      <c r="BG43" s="517">
        <f t="shared" si="25"/>
        <v>0</v>
      </c>
      <c r="BH43" s="517" t="e">
        <f t="shared" si="26"/>
        <v>#DIV/0!</v>
      </c>
      <c r="BI43" s="517">
        <f t="shared" si="27"/>
        <v>0.25</v>
      </c>
      <c r="BJ43" s="517" t="e">
        <f t="shared" si="28"/>
        <v>#DIV/0!</v>
      </c>
      <c r="BK43" s="517"/>
      <c r="BL43" s="580">
        <f t="shared" si="6"/>
        <v>1</v>
      </c>
      <c r="BM43" s="580" t="str">
        <f t="shared" si="7"/>
        <v>No Prog ni Ejec</v>
      </c>
      <c r="BN43" s="580">
        <f t="shared" si="8"/>
        <v>0</v>
      </c>
      <c r="BO43" s="580" t="str">
        <f t="shared" si="9"/>
        <v>No Prog ni Ejec</v>
      </c>
      <c r="BP43" s="580">
        <f t="shared" si="29"/>
        <v>0</v>
      </c>
      <c r="BQ43" s="580" t="str">
        <f t="shared" si="30"/>
        <v>No Prog ni Ejec</v>
      </c>
      <c r="BR43" s="580">
        <f t="shared" si="10"/>
        <v>0</v>
      </c>
      <c r="BS43" s="580" t="str">
        <f t="shared" si="11"/>
        <v>No Prog ni Ejec</v>
      </c>
      <c r="BT43" s="553">
        <f t="shared" si="15"/>
        <v>2.3333333333333335</v>
      </c>
      <c r="BU43" s="526" t="str">
        <f t="shared" si="31"/>
        <v>Informe</v>
      </c>
      <c r="BV43" s="527">
        <f t="shared" si="13"/>
        <v>0</v>
      </c>
      <c r="BW43" s="524"/>
      <c r="BX43" s="524"/>
      <c r="BY43" s="524"/>
      <c r="BZ43" s="524"/>
      <c r="CA43" s="524"/>
      <c r="CB43" s="524"/>
      <c r="CC43" s="524"/>
    </row>
    <row r="44" spans="1:81" s="457" customFormat="1" ht="51" x14ac:dyDescent="0.25">
      <c r="A44" s="513">
        <v>11300</v>
      </c>
      <c r="B44" s="514" t="s">
        <v>4</v>
      </c>
      <c r="C44" s="515" t="s">
        <v>160</v>
      </c>
      <c r="D44" s="514" t="s">
        <v>145</v>
      </c>
      <c r="E44" s="515" t="s">
        <v>592</v>
      </c>
      <c r="F44" s="514" t="s">
        <v>571</v>
      </c>
      <c r="G44" s="516" t="s">
        <v>123</v>
      </c>
      <c r="H44" s="517">
        <v>1</v>
      </c>
      <c r="I44" s="515" t="s">
        <v>593</v>
      </c>
      <c r="J44" s="514" t="s">
        <v>571</v>
      </c>
      <c r="K44" s="518">
        <v>580945500</v>
      </c>
      <c r="L44" s="519">
        <v>1</v>
      </c>
      <c r="M44" s="514" t="s">
        <v>46</v>
      </c>
      <c r="N44" s="514" t="s">
        <v>68</v>
      </c>
      <c r="O44" s="514" t="s">
        <v>21</v>
      </c>
      <c r="P44" s="514" t="s">
        <v>36</v>
      </c>
      <c r="Q44" s="514" t="s">
        <v>212</v>
      </c>
      <c r="R44" s="514" t="s">
        <v>379</v>
      </c>
      <c r="S44" s="514" t="s">
        <v>99</v>
      </c>
      <c r="T44" s="519">
        <v>1</v>
      </c>
      <c r="U44" s="520" t="str">
        <f t="shared" si="16"/>
        <v>Administración y Custodia del Portafolio de Inversión</v>
      </c>
      <c r="V44" s="521">
        <f t="shared" si="17"/>
        <v>580945500</v>
      </c>
      <c r="W44" s="522" t="s">
        <v>114</v>
      </c>
      <c r="X44" s="517">
        <v>0.25</v>
      </c>
      <c r="Y44" s="522" t="s">
        <v>571</v>
      </c>
      <c r="Z44" s="518">
        <f>+V44*X44</f>
        <v>145236375</v>
      </c>
      <c r="AA44" s="603">
        <v>0</v>
      </c>
      <c r="AB44" s="603">
        <v>0</v>
      </c>
      <c r="AC44" s="523">
        <f t="shared" si="18"/>
        <v>0</v>
      </c>
      <c r="AD44" s="523">
        <f t="shared" si="19"/>
        <v>0</v>
      </c>
      <c r="AE44" s="523">
        <f t="shared" si="14"/>
        <v>0</v>
      </c>
      <c r="AF44" s="523">
        <f t="shared" si="0"/>
        <v>0</v>
      </c>
      <c r="AG44" s="523"/>
      <c r="AH44" s="517">
        <v>0.25</v>
      </c>
      <c r="AI44" s="522" t="s">
        <v>571</v>
      </c>
      <c r="AJ44" s="518">
        <v>145236375</v>
      </c>
      <c r="AK44" s="524"/>
      <c r="AL44" s="524"/>
      <c r="AM44" s="523">
        <f t="shared" si="20"/>
        <v>0</v>
      </c>
      <c r="AN44" s="523">
        <f t="shared" si="1"/>
        <v>0</v>
      </c>
      <c r="AO44" s="523">
        <f t="shared" si="2"/>
        <v>0</v>
      </c>
      <c r="AP44" s="523">
        <f t="shared" si="3"/>
        <v>0</v>
      </c>
      <c r="AQ44" s="523"/>
      <c r="AR44" s="517">
        <v>0.25</v>
      </c>
      <c r="AS44" s="522" t="s">
        <v>571</v>
      </c>
      <c r="AT44" s="518">
        <v>145236375</v>
      </c>
      <c r="AU44" s="524"/>
      <c r="AV44" s="524"/>
      <c r="AW44" s="523">
        <f t="shared" si="21"/>
        <v>0</v>
      </c>
      <c r="AX44" s="523">
        <f t="shared" si="22"/>
        <v>0</v>
      </c>
      <c r="AY44" s="523">
        <f t="shared" si="23"/>
        <v>0</v>
      </c>
      <c r="AZ44" s="523">
        <f t="shared" si="24"/>
        <v>0</v>
      </c>
      <c r="BA44" s="523"/>
      <c r="BB44" s="517">
        <v>0.25</v>
      </c>
      <c r="BC44" s="522" t="s">
        <v>571</v>
      </c>
      <c r="BD44" s="518">
        <v>145236375</v>
      </c>
      <c r="BE44" s="524"/>
      <c r="BF44" s="524"/>
      <c r="BG44" s="517">
        <f t="shared" si="25"/>
        <v>0</v>
      </c>
      <c r="BH44" s="517">
        <f t="shared" si="26"/>
        <v>0</v>
      </c>
      <c r="BI44" s="517">
        <f t="shared" si="27"/>
        <v>0</v>
      </c>
      <c r="BJ44" s="517">
        <f t="shared" si="28"/>
        <v>0</v>
      </c>
      <c r="BK44" s="517"/>
      <c r="BL44" s="580">
        <f t="shared" si="6"/>
        <v>0</v>
      </c>
      <c r="BM44" s="580">
        <f t="shared" si="7"/>
        <v>0</v>
      </c>
      <c r="BN44" s="580">
        <f t="shared" si="8"/>
        <v>0</v>
      </c>
      <c r="BO44" s="580">
        <f t="shared" si="9"/>
        <v>0</v>
      </c>
      <c r="BP44" s="580">
        <f t="shared" si="29"/>
        <v>0</v>
      </c>
      <c r="BQ44" s="580">
        <f t="shared" si="30"/>
        <v>0</v>
      </c>
      <c r="BR44" s="580">
        <f t="shared" si="10"/>
        <v>0</v>
      </c>
      <c r="BS44" s="580">
        <f t="shared" si="11"/>
        <v>0</v>
      </c>
      <c r="BT44" s="525">
        <f t="shared" si="15"/>
        <v>0.58333333333333337</v>
      </c>
      <c r="BU44" s="526" t="str">
        <f t="shared" si="31"/>
        <v>Administración y Custodia del Portafolio de Inversión</v>
      </c>
      <c r="BV44" s="527">
        <f t="shared" si="13"/>
        <v>338884875</v>
      </c>
      <c r="BW44" s="524"/>
      <c r="BX44" s="524"/>
      <c r="BY44" s="524"/>
      <c r="BZ44" s="524"/>
      <c r="CA44" s="524"/>
      <c r="CB44" s="524"/>
      <c r="CC44" s="524"/>
    </row>
    <row r="45" spans="1:81" s="457" customFormat="1" ht="51" x14ac:dyDescent="0.25">
      <c r="A45" s="513">
        <v>11400</v>
      </c>
      <c r="B45" s="514" t="s">
        <v>26</v>
      </c>
      <c r="C45" s="515" t="s">
        <v>183</v>
      </c>
      <c r="D45" s="514" t="s">
        <v>153</v>
      </c>
      <c r="E45" s="515" t="s">
        <v>185</v>
      </c>
      <c r="F45" s="514" t="s">
        <v>133</v>
      </c>
      <c r="G45" s="516" t="s">
        <v>124</v>
      </c>
      <c r="H45" s="515">
        <v>4</v>
      </c>
      <c r="I45" s="515" t="s">
        <v>316</v>
      </c>
      <c r="J45" s="514" t="s">
        <v>24</v>
      </c>
      <c r="K45" s="518">
        <v>0</v>
      </c>
      <c r="L45" s="519">
        <v>1</v>
      </c>
      <c r="M45" s="514" t="s">
        <v>51</v>
      </c>
      <c r="N45" s="514" t="s">
        <v>68</v>
      </c>
      <c r="O45" s="514" t="s">
        <v>21</v>
      </c>
      <c r="P45" s="514" t="s">
        <v>36</v>
      </c>
      <c r="Q45" s="514" t="s">
        <v>75</v>
      </c>
      <c r="R45" s="514" t="s">
        <v>631</v>
      </c>
      <c r="S45" s="514" t="s">
        <v>98</v>
      </c>
      <c r="T45" s="515">
        <v>4</v>
      </c>
      <c r="U45" s="520" t="str">
        <f t="shared" si="16"/>
        <v>Reportar el cumplimiento del Plan de Acción de la Dependencia</v>
      </c>
      <c r="V45" s="521">
        <f t="shared" si="17"/>
        <v>0</v>
      </c>
      <c r="W45" s="522" t="s">
        <v>117</v>
      </c>
      <c r="X45" s="547">
        <v>1</v>
      </c>
      <c r="Y45" s="522" t="s">
        <v>24</v>
      </c>
      <c r="Z45" s="518">
        <v>0</v>
      </c>
      <c r="AA45" s="516">
        <v>1</v>
      </c>
      <c r="AB45" s="524">
        <v>0</v>
      </c>
      <c r="AC45" s="523">
        <f t="shared" si="18"/>
        <v>1</v>
      </c>
      <c r="AD45" s="523" t="e">
        <f t="shared" si="19"/>
        <v>#DIV/0!</v>
      </c>
      <c r="AE45" s="523">
        <f t="shared" si="14"/>
        <v>0.25</v>
      </c>
      <c r="AF45" s="523" t="e">
        <f t="shared" si="0"/>
        <v>#DIV/0!</v>
      </c>
      <c r="AG45" s="528"/>
      <c r="AH45" s="547">
        <v>1</v>
      </c>
      <c r="AI45" s="522" t="s">
        <v>24</v>
      </c>
      <c r="AJ45" s="518">
        <v>0</v>
      </c>
      <c r="AK45" s="524"/>
      <c r="AL45" s="524"/>
      <c r="AM45" s="523">
        <f t="shared" si="20"/>
        <v>0</v>
      </c>
      <c r="AN45" s="523" t="e">
        <f t="shared" si="1"/>
        <v>#DIV/0!</v>
      </c>
      <c r="AO45" s="523">
        <f t="shared" si="2"/>
        <v>0.25</v>
      </c>
      <c r="AP45" s="523" t="e">
        <f t="shared" si="3"/>
        <v>#DIV/0!</v>
      </c>
      <c r="AQ45" s="523"/>
      <c r="AR45" s="547">
        <v>1</v>
      </c>
      <c r="AS45" s="522" t="s">
        <v>24</v>
      </c>
      <c r="AT45" s="518">
        <v>0</v>
      </c>
      <c r="AU45" s="524"/>
      <c r="AV45" s="524"/>
      <c r="AW45" s="523">
        <f t="shared" si="21"/>
        <v>0</v>
      </c>
      <c r="AX45" s="523" t="e">
        <f t="shared" si="22"/>
        <v>#DIV/0!</v>
      </c>
      <c r="AY45" s="523">
        <f t="shared" si="23"/>
        <v>0.25</v>
      </c>
      <c r="AZ45" s="523" t="e">
        <f t="shared" si="24"/>
        <v>#DIV/0!</v>
      </c>
      <c r="BA45" s="523"/>
      <c r="BB45" s="547">
        <v>1</v>
      </c>
      <c r="BC45" s="522" t="s">
        <v>24</v>
      </c>
      <c r="BD45" s="518">
        <v>0</v>
      </c>
      <c r="BE45" s="524"/>
      <c r="BF45" s="524"/>
      <c r="BG45" s="517">
        <f t="shared" si="25"/>
        <v>0</v>
      </c>
      <c r="BH45" s="517" t="e">
        <f t="shared" si="26"/>
        <v>#DIV/0!</v>
      </c>
      <c r="BI45" s="517">
        <f t="shared" si="27"/>
        <v>0.25</v>
      </c>
      <c r="BJ45" s="517" t="e">
        <f t="shared" si="28"/>
        <v>#DIV/0!</v>
      </c>
      <c r="BK45" s="517"/>
      <c r="BL45" s="580">
        <f t="shared" si="6"/>
        <v>1</v>
      </c>
      <c r="BM45" s="580" t="str">
        <f t="shared" si="7"/>
        <v>No Prog ni Ejec</v>
      </c>
      <c r="BN45" s="580">
        <f t="shared" si="8"/>
        <v>0</v>
      </c>
      <c r="BO45" s="580" t="str">
        <f t="shared" si="9"/>
        <v>No Prog ni Ejec</v>
      </c>
      <c r="BP45" s="580">
        <f t="shared" si="29"/>
        <v>0</v>
      </c>
      <c r="BQ45" s="580" t="str">
        <f t="shared" si="30"/>
        <v>No Prog ni Ejec</v>
      </c>
      <c r="BR45" s="580">
        <f t="shared" si="10"/>
        <v>0</v>
      </c>
      <c r="BS45" s="580" t="str">
        <f t="shared" si="11"/>
        <v>No Prog ni Ejec</v>
      </c>
      <c r="BT45" s="553">
        <f t="shared" si="15"/>
        <v>2.3333333333333335</v>
      </c>
      <c r="BU45" s="526" t="str">
        <f t="shared" si="31"/>
        <v>Reportar el cumplimiento del Plan de Acción de la Dependencia</v>
      </c>
      <c r="BV45" s="527">
        <f t="shared" si="13"/>
        <v>0</v>
      </c>
      <c r="BW45" s="524"/>
      <c r="BX45" s="524"/>
      <c r="BY45" s="524"/>
      <c r="BZ45" s="524"/>
      <c r="CA45" s="524"/>
      <c r="CB45" s="524"/>
      <c r="CC45" s="524"/>
    </row>
    <row r="46" spans="1:81" s="457" customFormat="1" ht="165.75" x14ac:dyDescent="0.25">
      <c r="A46" s="513">
        <v>11400</v>
      </c>
      <c r="B46" s="514" t="s">
        <v>26</v>
      </c>
      <c r="C46" s="515" t="s">
        <v>184</v>
      </c>
      <c r="D46" s="514" t="s">
        <v>256</v>
      </c>
      <c r="E46" s="515" t="s">
        <v>186</v>
      </c>
      <c r="F46" s="514" t="s">
        <v>159</v>
      </c>
      <c r="G46" s="516" t="s">
        <v>123</v>
      </c>
      <c r="H46" s="517">
        <v>1</v>
      </c>
      <c r="I46" s="515" t="s">
        <v>317</v>
      </c>
      <c r="J46" s="514" t="s">
        <v>156</v>
      </c>
      <c r="K46" s="518">
        <v>0</v>
      </c>
      <c r="L46" s="519">
        <v>1</v>
      </c>
      <c r="M46" s="514" t="s">
        <v>51</v>
      </c>
      <c r="N46" s="514" t="s">
        <v>68</v>
      </c>
      <c r="O46" s="514" t="s">
        <v>21</v>
      </c>
      <c r="P46" s="514" t="s">
        <v>36</v>
      </c>
      <c r="Q46" s="514" t="s">
        <v>75</v>
      </c>
      <c r="R46" s="514" t="s">
        <v>672</v>
      </c>
      <c r="S46" s="514" t="s">
        <v>98</v>
      </c>
      <c r="T46" s="519">
        <v>1</v>
      </c>
      <c r="U46" s="520" t="str">
        <f t="shared" si="16"/>
        <v>Formular los proceso y procedimientos en el marco del MIPG</v>
      </c>
      <c r="V46" s="521">
        <f t="shared" si="17"/>
        <v>0</v>
      </c>
      <c r="W46" s="522" t="s">
        <v>117</v>
      </c>
      <c r="X46" s="517">
        <v>0.25</v>
      </c>
      <c r="Y46" s="522" t="s">
        <v>156</v>
      </c>
      <c r="Z46" s="518">
        <v>0</v>
      </c>
      <c r="AA46" s="572">
        <f>(33/35)</f>
        <v>0.94285714285714284</v>
      </c>
      <c r="AB46" s="524">
        <v>0</v>
      </c>
      <c r="AC46" s="523">
        <f t="shared" si="18"/>
        <v>3.7714285714285714</v>
      </c>
      <c r="AD46" s="523" t="e">
        <f t="shared" si="19"/>
        <v>#DIV/0!</v>
      </c>
      <c r="AE46" s="523">
        <f t="shared" si="14"/>
        <v>0.94285714285714284</v>
      </c>
      <c r="AF46" s="523" t="e">
        <f t="shared" si="0"/>
        <v>#DIV/0!</v>
      </c>
      <c r="AG46" s="528" t="s">
        <v>1018</v>
      </c>
      <c r="AH46" s="517">
        <v>0.25</v>
      </c>
      <c r="AI46" s="522" t="s">
        <v>156</v>
      </c>
      <c r="AJ46" s="518">
        <v>0</v>
      </c>
      <c r="AK46" s="524"/>
      <c r="AL46" s="524"/>
      <c r="AM46" s="523">
        <f t="shared" si="20"/>
        <v>0</v>
      </c>
      <c r="AN46" s="523" t="e">
        <f t="shared" si="1"/>
        <v>#DIV/0!</v>
      </c>
      <c r="AO46" s="523">
        <f t="shared" si="2"/>
        <v>0.94285714285714284</v>
      </c>
      <c r="AP46" s="523" t="e">
        <f t="shared" si="3"/>
        <v>#DIV/0!</v>
      </c>
      <c r="AQ46" s="523"/>
      <c r="AR46" s="517">
        <v>0.25</v>
      </c>
      <c r="AS46" s="522" t="s">
        <v>156</v>
      </c>
      <c r="AT46" s="518">
        <v>0</v>
      </c>
      <c r="AU46" s="524"/>
      <c r="AV46" s="524"/>
      <c r="AW46" s="523">
        <f t="shared" si="21"/>
        <v>0</v>
      </c>
      <c r="AX46" s="523" t="e">
        <f t="shared" si="22"/>
        <v>#DIV/0!</v>
      </c>
      <c r="AY46" s="523">
        <f t="shared" si="23"/>
        <v>0.94285714285714284</v>
      </c>
      <c r="AZ46" s="523" t="e">
        <f t="shared" si="24"/>
        <v>#DIV/0!</v>
      </c>
      <c r="BA46" s="523"/>
      <c r="BB46" s="517">
        <v>0.25</v>
      </c>
      <c r="BC46" s="522" t="s">
        <v>156</v>
      </c>
      <c r="BD46" s="518">
        <v>0</v>
      </c>
      <c r="BE46" s="524"/>
      <c r="BF46" s="524"/>
      <c r="BG46" s="517">
        <f t="shared" si="25"/>
        <v>0</v>
      </c>
      <c r="BH46" s="517" t="e">
        <f t="shared" si="26"/>
        <v>#DIV/0!</v>
      </c>
      <c r="BI46" s="517">
        <f t="shared" si="27"/>
        <v>0.94285714285714284</v>
      </c>
      <c r="BJ46" s="517" t="e">
        <f t="shared" si="28"/>
        <v>#DIV/0!</v>
      </c>
      <c r="BK46" s="517"/>
      <c r="BL46" s="580">
        <f t="shared" si="6"/>
        <v>3.7714285714285714</v>
      </c>
      <c r="BM46" s="580" t="str">
        <f t="shared" si="7"/>
        <v>No Prog ni Ejec</v>
      </c>
      <c r="BN46" s="580">
        <f t="shared" si="8"/>
        <v>0</v>
      </c>
      <c r="BO46" s="580" t="str">
        <f t="shared" si="9"/>
        <v>No Prog ni Ejec</v>
      </c>
      <c r="BP46" s="580">
        <f t="shared" si="29"/>
        <v>0</v>
      </c>
      <c r="BQ46" s="580" t="str">
        <f t="shared" si="30"/>
        <v>No Prog ni Ejec</v>
      </c>
      <c r="BR46" s="580">
        <f t="shared" si="10"/>
        <v>0</v>
      </c>
      <c r="BS46" s="580" t="str">
        <f t="shared" si="11"/>
        <v>No Prog ni Ejec</v>
      </c>
      <c r="BT46" s="525">
        <f t="shared" si="15"/>
        <v>0.58333333333333337</v>
      </c>
      <c r="BU46" s="526" t="str">
        <f t="shared" si="31"/>
        <v>Formular los proceso y procedimientos en el marco del MIPG</v>
      </c>
      <c r="BV46" s="527">
        <f t="shared" si="13"/>
        <v>0</v>
      </c>
      <c r="BW46" s="524"/>
      <c r="BX46" s="524"/>
      <c r="BY46" s="524"/>
      <c r="BZ46" s="524"/>
      <c r="CA46" s="524"/>
      <c r="CB46" s="524"/>
      <c r="CC46" s="524"/>
    </row>
    <row r="47" spans="1:81" s="457" customFormat="1" ht="89.25" x14ac:dyDescent="0.25">
      <c r="A47" s="513">
        <v>11400</v>
      </c>
      <c r="B47" s="514" t="s">
        <v>26</v>
      </c>
      <c r="C47" s="515" t="s">
        <v>184</v>
      </c>
      <c r="D47" s="514" t="s">
        <v>256</v>
      </c>
      <c r="E47" s="515" t="s">
        <v>187</v>
      </c>
      <c r="F47" s="514" t="s">
        <v>127</v>
      </c>
      <c r="G47" s="516" t="s">
        <v>123</v>
      </c>
      <c r="H47" s="517">
        <v>1</v>
      </c>
      <c r="I47" s="515" t="s">
        <v>318</v>
      </c>
      <c r="J47" s="514" t="s">
        <v>128</v>
      </c>
      <c r="K47" s="518">
        <v>0</v>
      </c>
      <c r="L47" s="519">
        <v>1</v>
      </c>
      <c r="M47" s="514" t="s">
        <v>51</v>
      </c>
      <c r="N47" s="514" t="s">
        <v>68</v>
      </c>
      <c r="O47" s="514" t="s">
        <v>21</v>
      </c>
      <c r="P47" s="514" t="s">
        <v>36</v>
      </c>
      <c r="Q47" s="514" t="s">
        <v>75</v>
      </c>
      <c r="R47" s="514" t="s">
        <v>570</v>
      </c>
      <c r="S47" s="514" t="s">
        <v>98</v>
      </c>
      <c r="T47" s="519">
        <v>1</v>
      </c>
      <c r="U47" s="520" t="str">
        <f t="shared" si="16"/>
        <v>Remitir informes trimestrales de los indicadores formulados y las acciones de mejoras</v>
      </c>
      <c r="V47" s="521">
        <f t="shared" si="17"/>
        <v>0</v>
      </c>
      <c r="W47" s="522" t="s">
        <v>117</v>
      </c>
      <c r="X47" s="517">
        <v>0</v>
      </c>
      <c r="Y47" s="522" t="s">
        <v>128</v>
      </c>
      <c r="Z47" s="518">
        <v>0</v>
      </c>
      <c r="AA47" s="572">
        <v>0</v>
      </c>
      <c r="AB47" s="524">
        <v>0</v>
      </c>
      <c r="AC47" s="523" t="e">
        <f>+(AA47/X47)</f>
        <v>#DIV/0!</v>
      </c>
      <c r="AD47" s="523" t="e">
        <f t="shared" si="19"/>
        <v>#DIV/0!</v>
      </c>
      <c r="AE47" s="523">
        <f t="shared" si="14"/>
        <v>0</v>
      </c>
      <c r="AF47" s="523" t="e">
        <f t="shared" si="0"/>
        <v>#DIV/0!</v>
      </c>
      <c r="AG47" s="528"/>
      <c r="AH47" s="517">
        <v>0</v>
      </c>
      <c r="AI47" s="522" t="s">
        <v>128</v>
      </c>
      <c r="AJ47" s="518">
        <v>0</v>
      </c>
      <c r="AK47" s="524"/>
      <c r="AL47" s="524"/>
      <c r="AM47" s="523" t="e">
        <f t="shared" si="20"/>
        <v>#DIV/0!</v>
      </c>
      <c r="AN47" s="523" t="e">
        <f t="shared" si="1"/>
        <v>#DIV/0!</v>
      </c>
      <c r="AO47" s="523">
        <f t="shared" si="2"/>
        <v>0</v>
      </c>
      <c r="AP47" s="523" t="e">
        <f t="shared" si="3"/>
        <v>#DIV/0!</v>
      </c>
      <c r="AQ47" s="523"/>
      <c r="AR47" s="517">
        <v>0</v>
      </c>
      <c r="AS47" s="522" t="s">
        <v>128</v>
      </c>
      <c r="AT47" s="518">
        <v>0</v>
      </c>
      <c r="AU47" s="524"/>
      <c r="AV47" s="524"/>
      <c r="AW47" s="523" t="e">
        <f t="shared" si="21"/>
        <v>#DIV/0!</v>
      </c>
      <c r="AX47" s="523" t="e">
        <f t="shared" si="22"/>
        <v>#DIV/0!</v>
      </c>
      <c r="AY47" s="523">
        <f t="shared" si="23"/>
        <v>0</v>
      </c>
      <c r="AZ47" s="523" t="e">
        <f t="shared" si="24"/>
        <v>#DIV/0!</v>
      </c>
      <c r="BA47" s="523"/>
      <c r="BB47" s="517">
        <v>1</v>
      </c>
      <c r="BC47" s="522" t="s">
        <v>128</v>
      </c>
      <c r="BD47" s="518">
        <v>0</v>
      </c>
      <c r="BE47" s="524"/>
      <c r="BF47" s="524"/>
      <c r="BG47" s="517">
        <f t="shared" si="25"/>
        <v>0</v>
      </c>
      <c r="BH47" s="517" t="e">
        <f t="shared" si="26"/>
        <v>#DIV/0!</v>
      </c>
      <c r="BI47" s="517">
        <f t="shared" si="27"/>
        <v>0</v>
      </c>
      <c r="BJ47" s="517" t="e">
        <f t="shared" si="28"/>
        <v>#DIV/0!</v>
      </c>
      <c r="BK47" s="517"/>
      <c r="BL47" s="580" t="str">
        <f t="shared" si="6"/>
        <v>No Prog ni Ejec</v>
      </c>
      <c r="BM47" s="580" t="str">
        <f t="shared" si="7"/>
        <v>No Prog ni Ejec</v>
      </c>
      <c r="BN47" s="580" t="str">
        <f t="shared" si="8"/>
        <v>No Prog ni Ejec</v>
      </c>
      <c r="BO47" s="580" t="str">
        <f t="shared" si="9"/>
        <v>No Prog ni Ejec</v>
      </c>
      <c r="BP47" s="580" t="str">
        <f t="shared" si="29"/>
        <v>No Prog ni Ejec</v>
      </c>
      <c r="BQ47" s="580" t="str">
        <f t="shared" si="30"/>
        <v>No Prog ni Ejec</v>
      </c>
      <c r="BR47" s="580">
        <f t="shared" si="10"/>
        <v>0</v>
      </c>
      <c r="BS47" s="580" t="str">
        <f t="shared" si="11"/>
        <v>No Prog ni Ejec</v>
      </c>
      <c r="BT47" s="525">
        <f t="shared" si="15"/>
        <v>0</v>
      </c>
      <c r="BU47" s="526" t="str">
        <f t="shared" si="31"/>
        <v>Remitir informes trimestrales de los indicadores formulados y las acciones de mejoras</v>
      </c>
      <c r="BV47" s="527">
        <f t="shared" si="13"/>
        <v>0</v>
      </c>
      <c r="BW47" s="524"/>
      <c r="BX47" s="524"/>
      <c r="BY47" s="524"/>
      <c r="BZ47" s="524"/>
      <c r="CA47" s="524"/>
      <c r="CB47" s="524"/>
      <c r="CC47" s="524"/>
    </row>
    <row r="48" spans="1:81" s="457" customFormat="1" ht="63.75" x14ac:dyDescent="0.25">
      <c r="A48" s="513">
        <v>11400</v>
      </c>
      <c r="B48" s="514" t="s">
        <v>26</v>
      </c>
      <c r="C48" s="515" t="s">
        <v>188</v>
      </c>
      <c r="D48" s="514" t="s">
        <v>144</v>
      </c>
      <c r="E48" s="515" t="s">
        <v>192</v>
      </c>
      <c r="F48" s="514" t="s">
        <v>189</v>
      </c>
      <c r="G48" s="516" t="s">
        <v>124</v>
      </c>
      <c r="H48" s="548">
        <v>47</v>
      </c>
      <c r="I48" s="515" t="s">
        <v>237</v>
      </c>
      <c r="J48" s="514" t="s">
        <v>190</v>
      </c>
      <c r="K48" s="518">
        <v>100516376</v>
      </c>
      <c r="L48" s="519">
        <v>1</v>
      </c>
      <c r="M48" s="514" t="s">
        <v>46</v>
      </c>
      <c r="N48" s="514" t="s">
        <v>68</v>
      </c>
      <c r="O48" s="514" t="s">
        <v>21</v>
      </c>
      <c r="P48" s="514" t="s">
        <v>36</v>
      </c>
      <c r="Q48" s="514" t="s">
        <v>216</v>
      </c>
      <c r="R48" s="514" t="s">
        <v>921</v>
      </c>
      <c r="S48" s="514" t="s">
        <v>99</v>
      </c>
      <c r="T48" s="547">
        <v>47</v>
      </c>
      <c r="U48" s="520" t="str">
        <f t="shared" si="16"/>
        <v>No. de Procesos de Compensación Ejecutados</v>
      </c>
      <c r="V48" s="521">
        <f t="shared" si="17"/>
        <v>100516376</v>
      </c>
      <c r="W48" s="522" t="s">
        <v>114</v>
      </c>
      <c r="X48" s="547">
        <v>11</v>
      </c>
      <c r="Y48" s="522" t="s">
        <v>190</v>
      </c>
      <c r="Z48" s="518">
        <v>43249020</v>
      </c>
      <c r="AA48" s="608">
        <v>11</v>
      </c>
      <c r="AB48" s="609">
        <f>19270170-136000</f>
        <v>19134170</v>
      </c>
      <c r="AC48" s="523">
        <f t="shared" si="18"/>
        <v>1</v>
      </c>
      <c r="AD48" s="523">
        <f t="shared" si="19"/>
        <v>0.44241857965798992</v>
      </c>
      <c r="AE48" s="523">
        <f t="shared" si="14"/>
        <v>0.23404255319148937</v>
      </c>
      <c r="AF48" s="523">
        <f t="shared" si="0"/>
        <v>0.19035873318791358</v>
      </c>
      <c r="AG48" s="528"/>
      <c r="AH48" s="547">
        <v>12</v>
      </c>
      <c r="AI48" s="522" t="s">
        <v>190</v>
      </c>
      <c r="AJ48" s="518">
        <v>12240000</v>
      </c>
      <c r="AK48" s="524"/>
      <c r="AL48" s="524"/>
      <c r="AM48" s="523">
        <f t="shared" si="20"/>
        <v>0</v>
      </c>
      <c r="AN48" s="523">
        <f t="shared" si="1"/>
        <v>0</v>
      </c>
      <c r="AO48" s="523">
        <f t="shared" si="2"/>
        <v>0.23404255319148937</v>
      </c>
      <c r="AP48" s="523">
        <f t="shared" si="3"/>
        <v>0.19035873318791358</v>
      </c>
      <c r="AQ48" s="523"/>
      <c r="AR48" s="547">
        <v>12</v>
      </c>
      <c r="AS48" s="522" t="s">
        <v>190</v>
      </c>
      <c r="AT48" s="518">
        <v>17376839</v>
      </c>
      <c r="AU48" s="524"/>
      <c r="AV48" s="524"/>
      <c r="AW48" s="523">
        <f t="shared" si="21"/>
        <v>0</v>
      </c>
      <c r="AX48" s="523">
        <f t="shared" si="22"/>
        <v>0</v>
      </c>
      <c r="AY48" s="523">
        <f t="shared" si="23"/>
        <v>0.23404255319148937</v>
      </c>
      <c r="AZ48" s="523">
        <f t="shared" si="24"/>
        <v>0.19035873318791358</v>
      </c>
      <c r="BA48" s="523"/>
      <c r="BB48" s="547">
        <v>12</v>
      </c>
      <c r="BC48" s="522" t="s">
        <v>190</v>
      </c>
      <c r="BD48" s="518">
        <v>27650517</v>
      </c>
      <c r="BE48" s="524"/>
      <c r="BF48" s="524"/>
      <c r="BG48" s="517">
        <f t="shared" si="25"/>
        <v>0</v>
      </c>
      <c r="BH48" s="517">
        <f t="shared" si="26"/>
        <v>0</v>
      </c>
      <c r="BI48" s="517">
        <f t="shared" si="27"/>
        <v>0.23404255319148937</v>
      </c>
      <c r="BJ48" s="517">
        <f t="shared" si="28"/>
        <v>0.19035873318791358</v>
      </c>
      <c r="BK48" s="517"/>
      <c r="BL48" s="580">
        <f t="shared" si="6"/>
        <v>1</v>
      </c>
      <c r="BM48" s="580">
        <f t="shared" si="7"/>
        <v>0.44241857965798992</v>
      </c>
      <c r="BN48" s="580">
        <f t="shared" si="8"/>
        <v>0</v>
      </c>
      <c r="BO48" s="580">
        <f t="shared" si="9"/>
        <v>0</v>
      </c>
      <c r="BP48" s="580">
        <f t="shared" si="29"/>
        <v>0</v>
      </c>
      <c r="BQ48" s="580">
        <f t="shared" si="30"/>
        <v>0</v>
      </c>
      <c r="BR48" s="580">
        <f t="shared" si="10"/>
        <v>0</v>
      </c>
      <c r="BS48" s="580">
        <f t="shared" si="11"/>
        <v>0</v>
      </c>
      <c r="BT48" s="553">
        <f t="shared" si="15"/>
        <v>27</v>
      </c>
      <c r="BU48" s="526" t="str">
        <f t="shared" si="31"/>
        <v>No. de Procesos de Compensación Ejecutados</v>
      </c>
      <c r="BV48" s="527">
        <f t="shared" si="13"/>
        <v>61281299.666666664</v>
      </c>
      <c r="BW48" s="524"/>
      <c r="BX48" s="524"/>
      <c r="BY48" s="524"/>
      <c r="BZ48" s="524"/>
      <c r="CA48" s="524"/>
      <c r="CB48" s="524"/>
      <c r="CC48" s="524"/>
    </row>
    <row r="49" spans="1:81" s="457" customFormat="1" ht="127.5" x14ac:dyDescent="0.25">
      <c r="A49" s="513">
        <v>11400</v>
      </c>
      <c r="B49" s="514" t="s">
        <v>26</v>
      </c>
      <c r="C49" s="515" t="s">
        <v>188</v>
      </c>
      <c r="D49" s="514" t="s">
        <v>144</v>
      </c>
      <c r="E49" s="515" t="s">
        <v>479</v>
      </c>
      <c r="F49" s="514" t="s">
        <v>191</v>
      </c>
      <c r="G49" s="516" t="s">
        <v>124</v>
      </c>
      <c r="H49" s="515">
        <v>12</v>
      </c>
      <c r="I49" s="515" t="s">
        <v>480</v>
      </c>
      <c r="J49" s="514" t="s">
        <v>597</v>
      </c>
      <c r="K49" s="518">
        <v>0</v>
      </c>
      <c r="L49" s="519">
        <v>1</v>
      </c>
      <c r="M49" s="514" t="s">
        <v>46</v>
      </c>
      <c r="N49" s="514" t="s">
        <v>68</v>
      </c>
      <c r="O49" s="514" t="s">
        <v>21</v>
      </c>
      <c r="P49" s="514" t="s">
        <v>36</v>
      </c>
      <c r="Q49" s="514" t="s">
        <v>223</v>
      </c>
      <c r="R49" s="514" t="s">
        <v>922</v>
      </c>
      <c r="S49" s="514" t="s">
        <v>99</v>
      </c>
      <c r="T49" s="547">
        <v>12</v>
      </c>
      <c r="U49" s="520" t="str">
        <f t="shared" si="16"/>
        <v>No. de Procesos de LMA Ejecutados</v>
      </c>
      <c r="V49" s="521">
        <f t="shared" si="17"/>
        <v>0</v>
      </c>
      <c r="W49" s="522" t="s">
        <v>117</v>
      </c>
      <c r="X49" s="547">
        <v>3</v>
      </c>
      <c r="Y49" s="522" t="s">
        <v>597</v>
      </c>
      <c r="Z49" s="518">
        <v>0</v>
      </c>
      <c r="AA49" s="516">
        <v>3</v>
      </c>
      <c r="AB49" s="527">
        <v>0</v>
      </c>
      <c r="AC49" s="523">
        <f t="shared" si="18"/>
        <v>1</v>
      </c>
      <c r="AD49" s="523" t="e">
        <f t="shared" si="19"/>
        <v>#DIV/0!</v>
      </c>
      <c r="AE49" s="523">
        <f t="shared" si="14"/>
        <v>0.25</v>
      </c>
      <c r="AF49" s="523" t="e">
        <f t="shared" si="0"/>
        <v>#DIV/0!</v>
      </c>
      <c r="AG49" s="528" t="s">
        <v>918</v>
      </c>
      <c r="AH49" s="547">
        <v>3</v>
      </c>
      <c r="AI49" s="522" t="s">
        <v>597</v>
      </c>
      <c r="AJ49" s="518">
        <v>0</v>
      </c>
      <c r="AK49" s="524"/>
      <c r="AL49" s="524"/>
      <c r="AM49" s="523">
        <f t="shared" si="20"/>
        <v>0</v>
      </c>
      <c r="AN49" s="523" t="e">
        <f t="shared" si="1"/>
        <v>#DIV/0!</v>
      </c>
      <c r="AO49" s="523">
        <f t="shared" si="2"/>
        <v>0.25</v>
      </c>
      <c r="AP49" s="523" t="e">
        <f t="shared" si="3"/>
        <v>#DIV/0!</v>
      </c>
      <c r="AQ49" s="523"/>
      <c r="AR49" s="547">
        <v>3</v>
      </c>
      <c r="AS49" s="522" t="s">
        <v>597</v>
      </c>
      <c r="AT49" s="518">
        <v>0</v>
      </c>
      <c r="AU49" s="524"/>
      <c r="AV49" s="524"/>
      <c r="AW49" s="523">
        <f t="shared" si="21"/>
        <v>0</v>
      </c>
      <c r="AX49" s="523" t="e">
        <f t="shared" si="22"/>
        <v>#DIV/0!</v>
      </c>
      <c r="AY49" s="523">
        <f t="shared" si="23"/>
        <v>0.25</v>
      </c>
      <c r="AZ49" s="523" t="e">
        <f t="shared" si="24"/>
        <v>#DIV/0!</v>
      </c>
      <c r="BA49" s="523"/>
      <c r="BB49" s="547">
        <v>3</v>
      </c>
      <c r="BC49" s="522" t="s">
        <v>597</v>
      </c>
      <c r="BD49" s="518">
        <v>0</v>
      </c>
      <c r="BE49" s="524"/>
      <c r="BF49" s="524"/>
      <c r="BG49" s="517">
        <f t="shared" si="25"/>
        <v>0</v>
      </c>
      <c r="BH49" s="517" t="e">
        <f t="shared" si="26"/>
        <v>#DIV/0!</v>
      </c>
      <c r="BI49" s="517">
        <f t="shared" si="27"/>
        <v>0.25</v>
      </c>
      <c r="BJ49" s="517" t="e">
        <f t="shared" si="28"/>
        <v>#DIV/0!</v>
      </c>
      <c r="BK49" s="517"/>
      <c r="BL49" s="580">
        <f t="shared" si="6"/>
        <v>1</v>
      </c>
      <c r="BM49" s="580" t="str">
        <f t="shared" si="7"/>
        <v>No Prog ni Ejec</v>
      </c>
      <c r="BN49" s="580">
        <f t="shared" si="8"/>
        <v>0</v>
      </c>
      <c r="BO49" s="580" t="str">
        <f t="shared" si="9"/>
        <v>No Prog ni Ejec</v>
      </c>
      <c r="BP49" s="580">
        <f t="shared" si="29"/>
        <v>0</v>
      </c>
      <c r="BQ49" s="580" t="str">
        <f t="shared" si="30"/>
        <v>No Prog ni Ejec</v>
      </c>
      <c r="BR49" s="580">
        <f t="shared" si="10"/>
        <v>0</v>
      </c>
      <c r="BS49" s="580" t="str">
        <f t="shared" si="11"/>
        <v>No Prog ni Ejec</v>
      </c>
      <c r="BT49" s="553">
        <f t="shared" si="15"/>
        <v>7</v>
      </c>
      <c r="BU49" s="526" t="str">
        <f t="shared" si="31"/>
        <v>No. de Procesos de LMA Ejecutados</v>
      </c>
      <c r="BV49" s="527">
        <f t="shared" si="13"/>
        <v>0</v>
      </c>
      <c r="BW49" s="524"/>
      <c r="BX49" s="524"/>
      <c r="BY49" s="524"/>
      <c r="BZ49" s="524"/>
      <c r="CA49" s="524"/>
      <c r="CB49" s="524"/>
      <c r="CC49" s="524"/>
    </row>
    <row r="50" spans="1:81" s="457" customFormat="1" ht="63.75" x14ac:dyDescent="0.25">
      <c r="A50" s="513">
        <v>11400</v>
      </c>
      <c r="B50" s="514" t="s">
        <v>26</v>
      </c>
      <c r="C50" s="515" t="s">
        <v>188</v>
      </c>
      <c r="D50" s="514" t="s">
        <v>144</v>
      </c>
      <c r="E50" s="515" t="s">
        <v>481</v>
      </c>
      <c r="F50" s="514" t="s">
        <v>233</v>
      </c>
      <c r="G50" s="516" t="s">
        <v>124</v>
      </c>
      <c r="H50" s="548">
        <v>48</v>
      </c>
      <c r="I50" s="515" t="s">
        <v>482</v>
      </c>
      <c r="J50" s="514" t="s">
        <v>193</v>
      </c>
      <c r="K50" s="518">
        <v>0</v>
      </c>
      <c r="L50" s="519">
        <v>1</v>
      </c>
      <c r="M50" s="514" t="s">
        <v>46</v>
      </c>
      <c r="N50" s="514" t="s">
        <v>68</v>
      </c>
      <c r="O50" s="514" t="s">
        <v>21</v>
      </c>
      <c r="P50" s="514" t="s">
        <v>36</v>
      </c>
      <c r="Q50" s="514" t="s">
        <v>216</v>
      </c>
      <c r="R50" s="514" t="s">
        <v>923</v>
      </c>
      <c r="S50" s="514" t="s">
        <v>99</v>
      </c>
      <c r="T50" s="547">
        <v>12</v>
      </c>
      <c r="U50" s="520" t="str">
        <f t="shared" si="16"/>
        <v>Publicación Giro Directo Régimen Contributivo</v>
      </c>
      <c r="V50" s="521">
        <f t="shared" si="17"/>
        <v>0</v>
      </c>
      <c r="W50" s="522" t="s">
        <v>117</v>
      </c>
      <c r="X50" s="547">
        <v>3</v>
      </c>
      <c r="Y50" s="522" t="s">
        <v>193</v>
      </c>
      <c r="Z50" s="518">
        <v>0</v>
      </c>
      <c r="AA50" s="516">
        <v>3</v>
      </c>
      <c r="AB50" s="527">
        <v>0</v>
      </c>
      <c r="AC50" s="523">
        <f t="shared" si="18"/>
        <v>1</v>
      </c>
      <c r="AD50" s="523" t="e">
        <f t="shared" si="19"/>
        <v>#DIV/0!</v>
      </c>
      <c r="AE50" s="523">
        <f t="shared" si="14"/>
        <v>0.25</v>
      </c>
      <c r="AF50" s="523" t="e">
        <f t="shared" si="0"/>
        <v>#DIV/0!</v>
      </c>
      <c r="AG50" s="528"/>
      <c r="AH50" s="547">
        <v>3</v>
      </c>
      <c r="AI50" s="522" t="s">
        <v>193</v>
      </c>
      <c r="AJ50" s="518">
        <v>0</v>
      </c>
      <c r="AK50" s="524"/>
      <c r="AL50" s="524"/>
      <c r="AM50" s="523">
        <f t="shared" si="20"/>
        <v>0</v>
      </c>
      <c r="AN50" s="523" t="e">
        <f t="shared" si="1"/>
        <v>#DIV/0!</v>
      </c>
      <c r="AO50" s="523">
        <f t="shared" si="2"/>
        <v>0.25</v>
      </c>
      <c r="AP50" s="523" t="e">
        <f t="shared" si="3"/>
        <v>#DIV/0!</v>
      </c>
      <c r="AQ50" s="523"/>
      <c r="AR50" s="547">
        <v>3</v>
      </c>
      <c r="AS50" s="522" t="s">
        <v>193</v>
      </c>
      <c r="AT50" s="518">
        <v>0</v>
      </c>
      <c r="AU50" s="524"/>
      <c r="AV50" s="524"/>
      <c r="AW50" s="523">
        <f t="shared" si="21"/>
        <v>0</v>
      </c>
      <c r="AX50" s="523" t="e">
        <f t="shared" si="22"/>
        <v>#DIV/0!</v>
      </c>
      <c r="AY50" s="523">
        <f t="shared" si="23"/>
        <v>0.25</v>
      </c>
      <c r="AZ50" s="523" t="e">
        <f t="shared" si="24"/>
        <v>#DIV/0!</v>
      </c>
      <c r="BA50" s="523"/>
      <c r="BB50" s="547">
        <v>3</v>
      </c>
      <c r="BC50" s="522" t="s">
        <v>193</v>
      </c>
      <c r="BD50" s="518">
        <v>0</v>
      </c>
      <c r="BE50" s="524"/>
      <c r="BF50" s="524"/>
      <c r="BG50" s="517">
        <f t="shared" si="25"/>
        <v>0</v>
      </c>
      <c r="BH50" s="517" t="e">
        <f t="shared" si="26"/>
        <v>#DIV/0!</v>
      </c>
      <c r="BI50" s="517">
        <f t="shared" si="27"/>
        <v>0.25</v>
      </c>
      <c r="BJ50" s="517" t="e">
        <f t="shared" si="28"/>
        <v>#DIV/0!</v>
      </c>
      <c r="BK50" s="517"/>
      <c r="BL50" s="580">
        <f t="shared" si="6"/>
        <v>1</v>
      </c>
      <c r="BM50" s="580" t="str">
        <f t="shared" si="7"/>
        <v>No Prog ni Ejec</v>
      </c>
      <c r="BN50" s="580">
        <f t="shared" si="8"/>
        <v>0</v>
      </c>
      <c r="BO50" s="580" t="str">
        <f t="shared" si="9"/>
        <v>No Prog ni Ejec</v>
      </c>
      <c r="BP50" s="580">
        <f t="shared" si="29"/>
        <v>0</v>
      </c>
      <c r="BQ50" s="580" t="str">
        <f t="shared" si="30"/>
        <v>No Prog ni Ejec</v>
      </c>
      <c r="BR50" s="580">
        <f t="shared" si="10"/>
        <v>0</v>
      </c>
      <c r="BS50" s="580" t="str">
        <f t="shared" si="11"/>
        <v>No Prog ni Ejec</v>
      </c>
      <c r="BT50" s="553">
        <f t="shared" si="15"/>
        <v>7</v>
      </c>
      <c r="BU50" s="526" t="str">
        <f t="shared" si="31"/>
        <v>Publicación Giro Directo Régimen Contributivo</v>
      </c>
      <c r="BV50" s="527">
        <f t="shared" si="13"/>
        <v>0</v>
      </c>
      <c r="BW50" s="524"/>
      <c r="BX50" s="524"/>
      <c r="BY50" s="524"/>
      <c r="BZ50" s="524"/>
      <c r="CA50" s="524"/>
      <c r="CB50" s="524"/>
      <c r="CC50" s="524"/>
    </row>
    <row r="51" spans="1:81" s="457" customFormat="1" ht="127.5" x14ac:dyDescent="0.25">
      <c r="A51" s="513">
        <v>11400</v>
      </c>
      <c r="B51" s="514" t="s">
        <v>26</v>
      </c>
      <c r="C51" s="515" t="s">
        <v>188</v>
      </c>
      <c r="D51" s="514" t="s">
        <v>144</v>
      </c>
      <c r="E51" s="515" t="s">
        <v>481</v>
      </c>
      <c r="F51" s="514" t="s">
        <v>234</v>
      </c>
      <c r="G51" s="516" t="s">
        <v>124</v>
      </c>
      <c r="H51" s="515">
        <v>12</v>
      </c>
      <c r="I51" s="515" t="s">
        <v>483</v>
      </c>
      <c r="J51" s="514" t="s">
        <v>194</v>
      </c>
      <c r="K51" s="518">
        <v>0</v>
      </c>
      <c r="L51" s="519">
        <v>1</v>
      </c>
      <c r="M51" s="514" t="s">
        <v>46</v>
      </c>
      <c r="N51" s="514" t="s">
        <v>68</v>
      </c>
      <c r="O51" s="514" t="s">
        <v>21</v>
      </c>
      <c r="P51" s="514" t="s">
        <v>36</v>
      </c>
      <c r="Q51" s="514" t="s">
        <v>223</v>
      </c>
      <c r="R51" s="514" t="s">
        <v>923</v>
      </c>
      <c r="S51" s="514" t="s">
        <v>99</v>
      </c>
      <c r="T51" s="547">
        <v>12</v>
      </c>
      <c r="U51" s="520" t="str">
        <f t="shared" si="16"/>
        <v>Publicación Giro Directo Régimen Subsidiado</v>
      </c>
      <c r="V51" s="521">
        <f t="shared" si="17"/>
        <v>0</v>
      </c>
      <c r="W51" s="522" t="s">
        <v>117</v>
      </c>
      <c r="X51" s="547">
        <v>3</v>
      </c>
      <c r="Y51" s="522" t="s">
        <v>194</v>
      </c>
      <c r="Z51" s="518">
        <v>0</v>
      </c>
      <c r="AA51" s="516">
        <v>3</v>
      </c>
      <c r="AB51" s="576">
        <v>0</v>
      </c>
      <c r="AC51" s="523">
        <f t="shared" si="18"/>
        <v>1</v>
      </c>
      <c r="AD51" s="523" t="e">
        <f t="shared" si="19"/>
        <v>#DIV/0!</v>
      </c>
      <c r="AE51" s="523">
        <f t="shared" si="14"/>
        <v>0.25</v>
      </c>
      <c r="AF51" s="523" t="e">
        <f t="shared" si="0"/>
        <v>#DIV/0!</v>
      </c>
      <c r="AG51" s="528" t="s">
        <v>919</v>
      </c>
      <c r="AH51" s="547">
        <v>3</v>
      </c>
      <c r="AI51" s="522" t="s">
        <v>194</v>
      </c>
      <c r="AJ51" s="518">
        <v>0</v>
      </c>
      <c r="AK51" s="524"/>
      <c r="AL51" s="524"/>
      <c r="AM51" s="523">
        <f t="shared" si="20"/>
        <v>0</v>
      </c>
      <c r="AN51" s="523" t="e">
        <f t="shared" si="1"/>
        <v>#DIV/0!</v>
      </c>
      <c r="AO51" s="523">
        <f t="shared" si="2"/>
        <v>0.25</v>
      </c>
      <c r="AP51" s="523" t="e">
        <f t="shared" si="3"/>
        <v>#DIV/0!</v>
      </c>
      <c r="AQ51" s="523"/>
      <c r="AR51" s="547">
        <v>3</v>
      </c>
      <c r="AS51" s="522" t="s">
        <v>194</v>
      </c>
      <c r="AT51" s="518">
        <v>0</v>
      </c>
      <c r="AU51" s="524"/>
      <c r="AV51" s="524"/>
      <c r="AW51" s="523">
        <f t="shared" si="21"/>
        <v>0</v>
      </c>
      <c r="AX51" s="523" t="e">
        <f t="shared" si="22"/>
        <v>#DIV/0!</v>
      </c>
      <c r="AY51" s="523">
        <f t="shared" si="23"/>
        <v>0.25</v>
      </c>
      <c r="AZ51" s="523" t="e">
        <f t="shared" si="24"/>
        <v>#DIV/0!</v>
      </c>
      <c r="BA51" s="523"/>
      <c r="BB51" s="547">
        <v>3</v>
      </c>
      <c r="BC51" s="522" t="s">
        <v>194</v>
      </c>
      <c r="BD51" s="518">
        <v>0</v>
      </c>
      <c r="BE51" s="524"/>
      <c r="BF51" s="524"/>
      <c r="BG51" s="517">
        <f t="shared" si="25"/>
        <v>0</v>
      </c>
      <c r="BH51" s="517" t="e">
        <f t="shared" si="26"/>
        <v>#DIV/0!</v>
      </c>
      <c r="BI51" s="517">
        <f t="shared" si="27"/>
        <v>0.25</v>
      </c>
      <c r="BJ51" s="517" t="e">
        <f t="shared" si="28"/>
        <v>#DIV/0!</v>
      </c>
      <c r="BK51" s="517"/>
      <c r="BL51" s="580">
        <f t="shared" si="6"/>
        <v>1</v>
      </c>
      <c r="BM51" s="580" t="str">
        <f t="shared" si="7"/>
        <v>No Prog ni Ejec</v>
      </c>
      <c r="BN51" s="580">
        <f t="shared" si="8"/>
        <v>0</v>
      </c>
      <c r="BO51" s="580" t="str">
        <f t="shared" si="9"/>
        <v>No Prog ni Ejec</v>
      </c>
      <c r="BP51" s="580">
        <f t="shared" si="29"/>
        <v>0</v>
      </c>
      <c r="BQ51" s="580" t="str">
        <f t="shared" si="30"/>
        <v>No Prog ni Ejec</v>
      </c>
      <c r="BR51" s="580">
        <f t="shared" si="10"/>
        <v>0</v>
      </c>
      <c r="BS51" s="580" t="str">
        <f t="shared" si="11"/>
        <v>No Prog ni Ejec</v>
      </c>
      <c r="BT51" s="553">
        <f t="shared" si="15"/>
        <v>7</v>
      </c>
      <c r="BU51" s="526" t="str">
        <f t="shared" si="31"/>
        <v>Publicación Giro Directo Régimen Subsidiado</v>
      </c>
      <c r="BV51" s="527">
        <f t="shared" si="13"/>
        <v>0</v>
      </c>
      <c r="BW51" s="524"/>
      <c r="BX51" s="524"/>
      <c r="BY51" s="524"/>
      <c r="BZ51" s="524"/>
      <c r="CA51" s="524"/>
      <c r="CB51" s="524"/>
      <c r="CC51" s="524"/>
    </row>
    <row r="52" spans="1:81" s="457" customFormat="1" ht="63.75" x14ac:dyDescent="0.25">
      <c r="A52" s="513">
        <v>11400</v>
      </c>
      <c r="B52" s="514" t="s">
        <v>26</v>
      </c>
      <c r="C52" s="515" t="s">
        <v>188</v>
      </c>
      <c r="D52" s="514" t="s">
        <v>144</v>
      </c>
      <c r="E52" s="515" t="s">
        <v>484</v>
      </c>
      <c r="F52" s="514" t="s">
        <v>195</v>
      </c>
      <c r="G52" s="516" t="s">
        <v>123</v>
      </c>
      <c r="H52" s="517">
        <v>1</v>
      </c>
      <c r="I52" s="515" t="s">
        <v>485</v>
      </c>
      <c r="J52" s="514" t="s">
        <v>196</v>
      </c>
      <c r="K52" s="518">
        <v>164378848</v>
      </c>
      <c r="L52" s="519">
        <v>1</v>
      </c>
      <c r="M52" s="514" t="s">
        <v>46</v>
      </c>
      <c r="N52" s="514" t="s">
        <v>68</v>
      </c>
      <c r="O52" s="514" t="s">
        <v>21</v>
      </c>
      <c r="P52" s="514" t="s">
        <v>36</v>
      </c>
      <c r="Q52" s="514" t="s">
        <v>216</v>
      </c>
      <c r="R52" s="514" t="s">
        <v>235</v>
      </c>
      <c r="S52" s="514" t="s">
        <v>99</v>
      </c>
      <c r="T52" s="519">
        <v>1</v>
      </c>
      <c r="U52" s="520" t="str">
        <f t="shared" si="16"/>
        <v>Trámite de prestaciones económicas REX</v>
      </c>
      <c r="V52" s="521">
        <f>+K52</f>
        <v>164378848</v>
      </c>
      <c r="W52" s="522" t="s">
        <v>117</v>
      </c>
      <c r="X52" s="517">
        <v>0.25</v>
      </c>
      <c r="Y52" s="522" t="s">
        <v>196</v>
      </c>
      <c r="Z52" s="518">
        <v>46231551</v>
      </c>
      <c r="AA52" s="573">
        <f>(520/910)*0.25</f>
        <v>0.14285714285714285</v>
      </c>
      <c r="AB52" s="610">
        <f>17934729-171228</f>
        <v>17763501</v>
      </c>
      <c r="AC52" s="523">
        <f t="shared" si="18"/>
        <v>0.5714285714285714</v>
      </c>
      <c r="AD52" s="523">
        <f>+(AB52/Z52)</f>
        <v>0.38422896519305616</v>
      </c>
      <c r="AE52" s="523">
        <f t="shared" si="14"/>
        <v>0.14285714285714285</v>
      </c>
      <c r="AF52" s="523">
        <f>+(AB52/V52)</f>
        <v>0.10806439646054704</v>
      </c>
      <c r="AG52" s="528"/>
      <c r="AH52" s="517">
        <v>1</v>
      </c>
      <c r="AI52" s="522" t="s">
        <v>196</v>
      </c>
      <c r="AJ52" s="518">
        <v>46231551</v>
      </c>
      <c r="AK52" s="524"/>
      <c r="AL52" s="524"/>
      <c r="AM52" s="523">
        <f t="shared" si="20"/>
        <v>0</v>
      </c>
      <c r="AN52" s="523">
        <f>+(AL52/AJ52)</f>
        <v>0</v>
      </c>
      <c r="AO52" s="523">
        <f t="shared" si="2"/>
        <v>0.14285714285714285</v>
      </c>
      <c r="AP52" s="523">
        <f t="shared" si="3"/>
        <v>0.10806439646054704</v>
      </c>
      <c r="AQ52" s="523"/>
      <c r="AR52" s="517">
        <v>1</v>
      </c>
      <c r="AS52" s="522" t="s">
        <v>196</v>
      </c>
      <c r="AT52" s="518">
        <v>41094712</v>
      </c>
      <c r="AU52" s="524"/>
      <c r="AV52" s="524"/>
      <c r="AW52" s="523">
        <f t="shared" si="21"/>
        <v>0</v>
      </c>
      <c r="AX52" s="523">
        <f t="shared" si="22"/>
        <v>0</v>
      </c>
      <c r="AY52" s="523">
        <f t="shared" si="23"/>
        <v>0.14285714285714285</v>
      </c>
      <c r="AZ52" s="523">
        <f t="shared" si="24"/>
        <v>0.10806439646054704</v>
      </c>
      <c r="BA52" s="523"/>
      <c r="BB52" s="517">
        <v>1</v>
      </c>
      <c r="BC52" s="522" t="s">
        <v>196</v>
      </c>
      <c r="BD52" s="518">
        <v>30821034</v>
      </c>
      <c r="BE52" s="524"/>
      <c r="BF52" s="524"/>
      <c r="BG52" s="517">
        <f t="shared" si="25"/>
        <v>0</v>
      </c>
      <c r="BH52" s="517">
        <f t="shared" si="26"/>
        <v>0</v>
      </c>
      <c r="BI52" s="517">
        <f t="shared" si="27"/>
        <v>0.14285714285714285</v>
      </c>
      <c r="BJ52" s="517">
        <f t="shared" si="28"/>
        <v>0.10806439646054704</v>
      </c>
      <c r="BK52" s="517"/>
      <c r="BL52" s="580">
        <f t="shared" si="6"/>
        <v>0.5714285714285714</v>
      </c>
      <c r="BM52" s="580">
        <f t="shared" si="7"/>
        <v>0.38422896519305616</v>
      </c>
      <c r="BN52" s="580">
        <f t="shared" si="8"/>
        <v>0</v>
      </c>
      <c r="BO52" s="580">
        <f t="shared" si="9"/>
        <v>0</v>
      </c>
      <c r="BP52" s="580">
        <f t="shared" si="29"/>
        <v>0</v>
      </c>
      <c r="BQ52" s="580">
        <f t="shared" si="30"/>
        <v>0</v>
      </c>
      <c r="BR52" s="580">
        <f t="shared" si="10"/>
        <v>0</v>
      </c>
      <c r="BS52" s="580">
        <f t="shared" si="11"/>
        <v>0</v>
      </c>
      <c r="BT52" s="525">
        <f t="shared" si="15"/>
        <v>1.5833333333333333</v>
      </c>
      <c r="BU52" s="526" t="str">
        <f t="shared" si="31"/>
        <v>Trámite de prestaciones económicas REX</v>
      </c>
      <c r="BV52" s="527">
        <f>+(Z52+AJ52+(AT52/3))</f>
        <v>106161339.33333333</v>
      </c>
      <c r="BW52" s="524"/>
      <c r="BX52" s="524"/>
      <c r="BY52" s="524"/>
      <c r="BZ52" s="524"/>
      <c r="CA52" s="524"/>
      <c r="CB52" s="524"/>
      <c r="CC52" s="524"/>
    </row>
    <row r="53" spans="1:81" s="457" customFormat="1" ht="63.75" x14ac:dyDescent="0.25">
      <c r="A53" s="513">
        <v>11400</v>
      </c>
      <c r="B53" s="514" t="s">
        <v>26</v>
      </c>
      <c r="C53" s="515" t="s">
        <v>188</v>
      </c>
      <c r="D53" s="514" t="s">
        <v>144</v>
      </c>
      <c r="E53" s="515" t="s">
        <v>484</v>
      </c>
      <c r="F53" s="514" t="s">
        <v>195</v>
      </c>
      <c r="G53" s="516" t="s">
        <v>123</v>
      </c>
      <c r="H53" s="517">
        <v>1</v>
      </c>
      <c r="I53" s="515" t="s">
        <v>486</v>
      </c>
      <c r="J53" s="514" t="s">
        <v>197</v>
      </c>
      <c r="K53" s="518">
        <v>48960000</v>
      </c>
      <c r="L53" s="519">
        <v>1</v>
      </c>
      <c r="M53" s="514" t="s">
        <v>46</v>
      </c>
      <c r="N53" s="514" t="s">
        <v>68</v>
      </c>
      <c r="O53" s="514" t="s">
        <v>21</v>
      </c>
      <c r="P53" s="514" t="s">
        <v>36</v>
      </c>
      <c r="Q53" s="514" t="s">
        <v>216</v>
      </c>
      <c r="R53" s="514" t="s">
        <v>236</v>
      </c>
      <c r="S53" s="514" t="s">
        <v>99</v>
      </c>
      <c r="T53" s="519">
        <v>1</v>
      </c>
      <c r="U53" s="520" t="str">
        <f t="shared" si="16"/>
        <v>Trámite de devolución de aportes REX</v>
      </c>
      <c r="V53" s="521">
        <f t="shared" si="17"/>
        <v>48960000</v>
      </c>
      <c r="W53" s="522" t="s">
        <v>114</v>
      </c>
      <c r="X53" s="517">
        <v>0.25</v>
      </c>
      <c r="Y53" s="522" t="s">
        <v>197</v>
      </c>
      <c r="Z53" s="518">
        <v>12240000</v>
      </c>
      <c r="AA53" s="573">
        <f>(128/215)*0.25</f>
        <v>0.14883720930232558</v>
      </c>
      <c r="AB53" s="609">
        <v>7362803</v>
      </c>
      <c r="AC53" s="523">
        <f t="shared" si="18"/>
        <v>0.59534883720930232</v>
      </c>
      <c r="AD53" s="523">
        <f t="shared" si="19"/>
        <v>0.60153619281045756</v>
      </c>
      <c r="AE53" s="523">
        <f t="shared" si="14"/>
        <v>0.14883720930232558</v>
      </c>
      <c r="AF53" s="523">
        <f t="shared" si="0"/>
        <v>0.15038404820261439</v>
      </c>
      <c r="AG53" s="528"/>
      <c r="AH53" s="517">
        <v>1</v>
      </c>
      <c r="AI53" s="522" t="s">
        <v>197</v>
      </c>
      <c r="AJ53" s="518">
        <v>12240000</v>
      </c>
      <c r="AK53" s="524"/>
      <c r="AL53" s="524"/>
      <c r="AM53" s="523">
        <f t="shared" si="20"/>
        <v>0</v>
      </c>
      <c r="AN53" s="523">
        <f t="shared" si="1"/>
        <v>0</v>
      </c>
      <c r="AO53" s="523">
        <f t="shared" si="2"/>
        <v>0.14883720930232558</v>
      </c>
      <c r="AP53" s="523">
        <f t="shared" si="3"/>
        <v>0.15038404820261439</v>
      </c>
      <c r="AQ53" s="523"/>
      <c r="AR53" s="517">
        <v>1</v>
      </c>
      <c r="AS53" s="522" t="s">
        <v>197</v>
      </c>
      <c r="AT53" s="518">
        <v>12240000</v>
      </c>
      <c r="AU53" s="524"/>
      <c r="AV53" s="524"/>
      <c r="AW53" s="523">
        <f t="shared" si="21"/>
        <v>0</v>
      </c>
      <c r="AX53" s="523">
        <f t="shared" si="22"/>
        <v>0</v>
      </c>
      <c r="AY53" s="523">
        <f t="shared" si="23"/>
        <v>0.14883720930232558</v>
      </c>
      <c r="AZ53" s="523">
        <f t="shared" si="24"/>
        <v>0.15038404820261439</v>
      </c>
      <c r="BA53" s="523"/>
      <c r="BB53" s="517">
        <v>1</v>
      </c>
      <c r="BC53" s="522" t="s">
        <v>197</v>
      </c>
      <c r="BD53" s="518">
        <v>12240000</v>
      </c>
      <c r="BE53" s="524"/>
      <c r="BF53" s="524"/>
      <c r="BG53" s="517">
        <f t="shared" si="25"/>
        <v>0</v>
      </c>
      <c r="BH53" s="517">
        <f t="shared" si="26"/>
        <v>0</v>
      </c>
      <c r="BI53" s="517">
        <f t="shared" si="27"/>
        <v>0.14883720930232558</v>
      </c>
      <c r="BJ53" s="517">
        <f t="shared" si="28"/>
        <v>0.15038404820261439</v>
      </c>
      <c r="BK53" s="517"/>
      <c r="BL53" s="580">
        <f t="shared" si="6"/>
        <v>0.59534883720930232</v>
      </c>
      <c r="BM53" s="580">
        <f t="shared" si="7"/>
        <v>0.60153619281045756</v>
      </c>
      <c r="BN53" s="580">
        <f t="shared" si="8"/>
        <v>0</v>
      </c>
      <c r="BO53" s="580">
        <f t="shared" si="9"/>
        <v>0</v>
      </c>
      <c r="BP53" s="580">
        <f t="shared" si="29"/>
        <v>0</v>
      </c>
      <c r="BQ53" s="580">
        <f t="shared" si="30"/>
        <v>0</v>
      </c>
      <c r="BR53" s="580">
        <f t="shared" si="10"/>
        <v>0</v>
      </c>
      <c r="BS53" s="580">
        <f t="shared" si="11"/>
        <v>0</v>
      </c>
      <c r="BT53" s="525">
        <f t="shared" si="15"/>
        <v>1.5833333333333333</v>
      </c>
      <c r="BU53" s="526" t="str">
        <f t="shared" si="31"/>
        <v>Trámite de devolución de aportes REX</v>
      </c>
      <c r="BV53" s="527">
        <f t="shared" si="13"/>
        <v>28560000</v>
      </c>
      <c r="BW53" s="524"/>
      <c r="BX53" s="524"/>
      <c r="BY53" s="524"/>
      <c r="BZ53" s="524"/>
      <c r="CA53" s="524"/>
      <c r="CB53" s="524"/>
      <c r="CC53" s="524"/>
    </row>
    <row r="54" spans="1:81" s="457" customFormat="1" ht="63.75" x14ac:dyDescent="0.25">
      <c r="A54" s="513">
        <v>11400</v>
      </c>
      <c r="B54" s="514" t="s">
        <v>26</v>
      </c>
      <c r="C54" s="515" t="s">
        <v>188</v>
      </c>
      <c r="D54" s="514" t="s">
        <v>144</v>
      </c>
      <c r="E54" s="515" t="s">
        <v>487</v>
      </c>
      <c r="F54" s="514" t="s">
        <v>476</v>
      </c>
      <c r="G54" s="516" t="s">
        <v>123</v>
      </c>
      <c r="H54" s="517">
        <v>1</v>
      </c>
      <c r="I54" s="515" t="s">
        <v>488</v>
      </c>
      <c r="J54" s="514" t="s">
        <v>473</v>
      </c>
      <c r="K54" s="518">
        <v>0</v>
      </c>
      <c r="L54" s="519">
        <v>1</v>
      </c>
      <c r="M54" s="514" t="s">
        <v>46</v>
      </c>
      <c r="N54" s="514" t="s">
        <v>68</v>
      </c>
      <c r="O54" s="514" t="s">
        <v>21</v>
      </c>
      <c r="P54" s="514" t="s">
        <v>36</v>
      </c>
      <c r="Q54" s="514" t="s">
        <v>216</v>
      </c>
      <c r="R54" s="514" t="s">
        <v>474</v>
      </c>
      <c r="S54" s="514" t="s">
        <v>99</v>
      </c>
      <c r="T54" s="519">
        <v>1</v>
      </c>
      <c r="U54" s="520" t="str">
        <f t="shared" si="16"/>
        <v>Elaboración de solicitudes de aclaración sobre apropiaciones sin justa causa</v>
      </c>
      <c r="V54" s="521">
        <v>0</v>
      </c>
      <c r="W54" s="522" t="s">
        <v>114</v>
      </c>
      <c r="X54" s="517">
        <v>0.25</v>
      </c>
      <c r="Y54" s="522" t="s">
        <v>473</v>
      </c>
      <c r="Z54" s="518">
        <v>0</v>
      </c>
      <c r="AA54" s="573">
        <f>(140/140)*0.25</f>
        <v>0.25</v>
      </c>
      <c r="AB54" s="527">
        <v>0</v>
      </c>
      <c r="AC54" s="523">
        <f t="shared" si="18"/>
        <v>1</v>
      </c>
      <c r="AD54" s="523" t="e">
        <f>+(AB54/Z54)</f>
        <v>#DIV/0!</v>
      </c>
      <c r="AE54" s="523">
        <f t="shared" si="14"/>
        <v>0.25</v>
      </c>
      <c r="AF54" s="523" t="e">
        <f>+(AB54/V54)</f>
        <v>#DIV/0!</v>
      </c>
      <c r="AG54" s="528"/>
      <c r="AH54" s="517">
        <v>1</v>
      </c>
      <c r="AI54" s="522" t="s">
        <v>473</v>
      </c>
      <c r="AJ54" s="518">
        <v>0</v>
      </c>
      <c r="AK54" s="524"/>
      <c r="AL54" s="524"/>
      <c r="AM54" s="523">
        <f t="shared" si="20"/>
        <v>0</v>
      </c>
      <c r="AN54" s="523" t="e">
        <f>+(AL54/AJ54)</f>
        <v>#DIV/0!</v>
      </c>
      <c r="AO54" s="523">
        <f t="shared" si="2"/>
        <v>0.25</v>
      </c>
      <c r="AP54" s="557" t="e">
        <f>+(AL54+AB54)/V54</f>
        <v>#DIV/0!</v>
      </c>
      <c r="AQ54" s="557"/>
      <c r="AR54" s="517">
        <v>1</v>
      </c>
      <c r="AS54" s="522" t="s">
        <v>473</v>
      </c>
      <c r="AT54" s="518">
        <v>0</v>
      </c>
      <c r="AU54" s="524"/>
      <c r="AV54" s="524"/>
      <c r="AW54" s="523">
        <f t="shared" si="21"/>
        <v>0</v>
      </c>
      <c r="AX54" s="523" t="e">
        <f>+(AV54/AT54)</f>
        <v>#DIV/0!</v>
      </c>
      <c r="AY54" s="523">
        <f t="shared" si="23"/>
        <v>0.25</v>
      </c>
      <c r="AZ54" s="557" t="e">
        <f>+(AL54+AB54+AV54)/V54</f>
        <v>#DIV/0!</v>
      </c>
      <c r="BA54" s="557"/>
      <c r="BB54" s="517">
        <v>1</v>
      </c>
      <c r="BC54" s="522" t="s">
        <v>473</v>
      </c>
      <c r="BD54" s="518">
        <v>0</v>
      </c>
      <c r="BE54" s="524"/>
      <c r="BF54" s="524"/>
      <c r="BG54" s="517">
        <f t="shared" si="25"/>
        <v>0</v>
      </c>
      <c r="BH54" s="517" t="e">
        <f>+(BF54/BD54)</f>
        <v>#DIV/0!</v>
      </c>
      <c r="BI54" s="517">
        <f t="shared" si="27"/>
        <v>0.25</v>
      </c>
      <c r="BJ54" s="558" t="e">
        <f>+(AL54+AB54+AV54+BF54)/V54</f>
        <v>#DIV/0!</v>
      </c>
      <c r="BK54" s="558"/>
      <c r="BL54" s="580">
        <f t="shared" si="6"/>
        <v>1</v>
      </c>
      <c r="BM54" s="580" t="str">
        <f>IF(AND(Z54=0,AB54=0),"No Prog ni Ejec",IF(Z54=0,CONCATENATE("No Prog, Ejec=  ",AB54),AB54/Z54))</f>
        <v>No Prog ni Ejec</v>
      </c>
      <c r="BN54" s="580">
        <f t="shared" si="8"/>
        <v>0</v>
      </c>
      <c r="BO54" s="580" t="str">
        <f>IF(AND(AJ52=0,AL54=0),"No Prog ni Ejec",IF(AJ54=0,CONCATENATE("No Prog, Ejec=  ",AL54),AL54/AJ54))</f>
        <v xml:space="preserve">No Prog, Ejec=  </v>
      </c>
      <c r="BP54" s="580">
        <f t="shared" si="29"/>
        <v>0</v>
      </c>
      <c r="BQ54" s="580" t="str">
        <f>IF(AND(AT54=0,AV54=0),"No Prog ni Ejec",IF(AT54=0,CONCATENATE("No Prog, Ejec=  ",AV54),AV54/AT54))</f>
        <v>No Prog ni Ejec</v>
      </c>
      <c r="BR54" s="580">
        <f t="shared" si="10"/>
        <v>0</v>
      </c>
      <c r="BS54" s="580" t="str">
        <f>IF(AND(BD54=0,BF54=0),"No Prog ni Ejec",IF(BD54=0,CONCATENATE("No Prog, Ejec=  ",BF54),BF54/BD54))</f>
        <v>No Prog ni Ejec</v>
      </c>
      <c r="BT54" s="525">
        <f t="shared" si="15"/>
        <v>1.5833333333333333</v>
      </c>
      <c r="BU54" s="526" t="str">
        <f t="shared" si="31"/>
        <v>Elaboración de solicitudes de aclaración sobre apropiaciones sin justa causa</v>
      </c>
      <c r="BV54" s="527">
        <f t="shared" si="13"/>
        <v>0</v>
      </c>
      <c r="BW54" s="524"/>
      <c r="BX54" s="524"/>
      <c r="BY54" s="524"/>
      <c r="BZ54" s="524"/>
      <c r="CA54" s="524"/>
      <c r="CB54" s="524"/>
      <c r="CC54" s="524"/>
    </row>
    <row r="55" spans="1:81" s="457" customFormat="1" ht="76.5" x14ac:dyDescent="0.25">
      <c r="A55" s="513">
        <v>11400</v>
      </c>
      <c r="B55" s="514" t="s">
        <v>26</v>
      </c>
      <c r="C55" s="515" t="s">
        <v>188</v>
      </c>
      <c r="D55" s="514" t="s">
        <v>144</v>
      </c>
      <c r="E55" s="515" t="s">
        <v>489</v>
      </c>
      <c r="F55" s="514" t="s">
        <v>198</v>
      </c>
      <c r="G55" s="516" t="s">
        <v>123</v>
      </c>
      <c r="H55" s="517">
        <v>1</v>
      </c>
      <c r="I55" s="515" t="s">
        <v>490</v>
      </c>
      <c r="J55" s="514" t="s">
        <v>199</v>
      </c>
      <c r="K55" s="518">
        <v>0</v>
      </c>
      <c r="L55" s="519">
        <v>1</v>
      </c>
      <c r="M55" s="514" t="s">
        <v>46</v>
      </c>
      <c r="N55" s="514" t="s">
        <v>68</v>
      </c>
      <c r="O55" s="514" t="s">
        <v>21</v>
      </c>
      <c r="P55" s="514" t="s">
        <v>36</v>
      </c>
      <c r="Q55" s="514" t="s">
        <v>223</v>
      </c>
      <c r="R55" s="514" t="s">
        <v>475</v>
      </c>
      <c r="S55" s="514" t="s">
        <v>99</v>
      </c>
      <c r="T55" s="519">
        <v>1</v>
      </c>
      <c r="U55" s="520" t="str">
        <f t="shared" si="16"/>
        <v>Elaboración de Informes de auditoría de reintegro de recursos</v>
      </c>
      <c r="V55" s="521">
        <f t="shared" si="17"/>
        <v>0</v>
      </c>
      <c r="W55" s="522" t="s">
        <v>117</v>
      </c>
      <c r="X55" s="517">
        <v>0.25</v>
      </c>
      <c r="Y55" s="522" t="s">
        <v>199</v>
      </c>
      <c r="Z55" s="518">
        <v>0</v>
      </c>
      <c r="AA55" s="519">
        <v>0</v>
      </c>
      <c r="AB55" s="527">
        <v>0</v>
      </c>
      <c r="AC55" s="523">
        <f t="shared" si="18"/>
        <v>0</v>
      </c>
      <c r="AD55" s="523" t="e">
        <f>+(AB55/Z55)</f>
        <v>#DIV/0!</v>
      </c>
      <c r="AE55" s="523">
        <f t="shared" si="14"/>
        <v>0</v>
      </c>
      <c r="AF55" s="523" t="e">
        <f t="shared" si="0"/>
        <v>#DIV/0!</v>
      </c>
      <c r="AG55" s="559" t="s">
        <v>920</v>
      </c>
      <c r="AH55" s="517">
        <v>1</v>
      </c>
      <c r="AI55" s="522" t="s">
        <v>199</v>
      </c>
      <c r="AJ55" s="518">
        <v>0</v>
      </c>
      <c r="AK55" s="524"/>
      <c r="AL55" s="524"/>
      <c r="AM55" s="523">
        <f t="shared" si="20"/>
        <v>0</v>
      </c>
      <c r="AN55" s="523" t="e">
        <f t="shared" si="1"/>
        <v>#DIV/0!</v>
      </c>
      <c r="AO55" s="523">
        <f t="shared" si="2"/>
        <v>0</v>
      </c>
      <c r="AP55" s="523" t="e">
        <f t="shared" si="3"/>
        <v>#DIV/0!</v>
      </c>
      <c r="AQ55" s="523"/>
      <c r="AR55" s="517">
        <v>1</v>
      </c>
      <c r="AS55" s="522" t="s">
        <v>199</v>
      </c>
      <c r="AT55" s="518">
        <v>0</v>
      </c>
      <c r="AU55" s="524"/>
      <c r="AV55" s="524"/>
      <c r="AW55" s="523">
        <f t="shared" si="21"/>
        <v>0</v>
      </c>
      <c r="AX55" s="523" t="e">
        <f t="shared" si="22"/>
        <v>#DIV/0!</v>
      </c>
      <c r="AY55" s="523">
        <f t="shared" si="23"/>
        <v>0</v>
      </c>
      <c r="AZ55" s="523" t="e">
        <f t="shared" si="24"/>
        <v>#DIV/0!</v>
      </c>
      <c r="BA55" s="523"/>
      <c r="BB55" s="517">
        <v>1</v>
      </c>
      <c r="BC55" s="522" t="s">
        <v>199</v>
      </c>
      <c r="BD55" s="518">
        <v>0</v>
      </c>
      <c r="BE55" s="524"/>
      <c r="BF55" s="524"/>
      <c r="BG55" s="517">
        <f t="shared" si="25"/>
        <v>0</v>
      </c>
      <c r="BH55" s="517" t="e">
        <f t="shared" si="26"/>
        <v>#DIV/0!</v>
      </c>
      <c r="BI55" s="517">
        <f t="shared" si="27"/>
        <v>0</v>
      </c>
      <c r="BJ55" s="517" t="e">
        <f t="shared" si="28"/>
        <v>#DIV/0!</v>
      </c>
      <c r="BK55" s="517"/>
      <c r="BL55" s="580">
        <f t="shared" si="6"/>
        <v>0</v>
      </c>
      <c r="BM55" s="580" t="str">
        <f t="shared" si="7"/>
        <v>No Prog ni Ejec</v>
      </c>
      <c r="BN55" s="580">
        <f t="shared" si="8"/>
        <v>0</v>
      </c>
      <c r="BO55" s="580" t="str">
        <f t="shared" si="9"/>
        <v>No Prog ni Ejec</v>
      </c>
      <c r="BP55" s="580">
        <f t="shared" si="29"/>
        <v>0</v>
      </c>
      <c r="BQ55" s="580" t="str">
        <f t="shared" si="30"/>
        <v>No Prog ni Ejec</v>
      </c>
      <c r="BR55" s="580">
        <f t="shared" si="10"/>
        <v>0</v>
      </c>
      <c r="BS55" s="580" t="str">
        <f t="shared" si="11"/>
        <v>No Prog ni Ejec</v>
      </c>
      <c r="BT55" s="525">
        <f t="shared" si="15"/>
        <v>1.5833333333333333</v>
      </c>
      <c r="BU55" s="526" t="str">
        <f t="shared" si="31"/>
        <v>Elaboración de Informes de auditoría de reintegro de recursos</v>
      </c>
      <c r="BV55" s="527">
        <f t="shared" si="13"/>
        <v>0</v>
      </c>
      <c r="BW55" s="524"/>
      <c r="BX55" s="524"/>
      <c r="BY55" s="524"/>
      <c r="BZ55" s="524"/>
      <c r="CA55" s="524"/>
      <c r="CB55" s="524"/>
      <c r="CC55" s="524"/>
    </row>
    <row r="56" spans="1:81" s="457" customFormat="1" ht="137.25" customHeight="1" x14ac:dyDescent="0.25">
      <c r="A56" s="513">
        <v>11400</v>
      </c>
      <c r="B56" s="514" t="s">
        <v>26</v>
      </c>
      <c r="C56" s="515" t="s">
        <v>188</v>
      </c>
      <c r="D56" s="514" t="s">
        <v>144</v>
      </c>
      <c r="E56" s="515" t="s">
        <v>491</v>
      </c>
      <c r="F56" s="514" t="s">
        <v>478</v>
      </c>
      <c r="G56" s="516" t="s">
        <v>123</v>
      </c>
      <c r="H56" s="517">
        <v>1</v>
      </c>
      <c r="I56" s="515" t="s">
        <v>492</v>
      </c>
      <c r="J56" s="514" t="s">
        <v>477</v>
      </c>
      <c r="K56" s="518">
        <v>0</v>
      </c>
      <c r="L56" s="519">
        <v>1</v>
      </c>
      <c r="M56" s="514" t="s">
        <v>46</v>
      </c>
      <c r="N56" s="514" t="s">
        <v>68</v>
      </c>
      <c r="O56" s="514" t="s">
        <v>21</v>
      </c>
      <c r="P56" s="514" t="s">
        <v>36</v>
      </c>
      <c r="Q56" s="514" t="s">
        <v>223</v>
      </c>
      <c r="R56" s="514" t="s">
        <v>507</v>
      </c>
      <c r="S56" s="514" t="s">
        <v>99</v>
      </c>
      <c r="T56" s="519">
        <v>1</v>
      </c>
      <c r="U56" s="520" t="str">
        <f t="shared" si="16"/>
        <v>Elaboración de comunicaciones con las conclusiones del procedimiento de la auditoría de reintegro de recursos</v>
      </c>
      <c r="V56" s="521">
        <f t="shared" si="17"/>
        <v>0</v>
      </c>
      <c r="W56" s="522" t="s">
        <v>117</v>
      </c>
      <c r="X56" s="517">
        <v>0.25</v>
      </c>
      <c r="Y56" s="522" t="s">
        <v>477</v>
      </c>
      <c r="Z56" s="518">
        <v>0</v>
      </c>
      <c r="AA56" s="517">
        <f>(62/62)*0.25</f>
        <v>0.25</v>
      </c>
      <c r="AB56" s="527">
        <v>0</v>
      </c>
      <c r="AC56" s="523">
        <f t="shared" si="18"/>
        <v>1</v>
      </c>
      <c r="AD56" s="523" t="e">
        <f t="shared" si="19"/>
        <v>#DIV/0!</v>
      </c>
      <c r="AE56" s="523">
        <f t="shared" si="14"/>
        <v>0.25</v>
      </c>
      <c r="AF56" s="523" t="e">
        <f t="shared" si="0"/>
        <v>#DIV/0!</v>
      </c>
      <c r="AG56" s="528"/>
      <c r="AH56" s="517">
        <v>1</v>
      </c>
      <c r="AI56" s="522" t="s">
        <v>477</v>
      </c>
      <c r="AJ56" s="518">
        <v>0</v>
      </c>
      <c r="AK56" s="524"/>
      <c r="AL56" s="524"/>
      <c r="AM56" s="523">
        <f t="shared" si="20"/>
        <v>0</v>
      </c>
      <c r="AN56" s="523" t="e">
        <f t="shared" si="1"/>
        <v>#DIV/0!</v>
      </c>
      <c r="AO56" s="523">
        <f t="shared" si="2"/>
        <v>0.25</v>
      </c>
      <c r="AP56" s="523" t="e">
        <f t="shared" si="3"/>
        <v>#DIV/0!</v>
      </c>
      <c r="AQ56" s="523"/>
      <c r="AR56" s="517">
        <v>1</v>
      </c>
      <c r="AS56" s="522" t="s">
        <v>477</v>
      </c>
      <c r="AT56" s="518">
        <v>0</v>
      </c>
      <c r="AU56" s="524"/>
      <c r="AV56" s="524"/>
      <c r="AW56" s="523">
        <f t="shared" si="21"/>
        <v>0</v>
      </c>
      <c r="AX56" s="523" t="e">
        <f t="shared" si="22"/>
        <v>#DIV/0!</v>
      </c>
      <c r="AY56" s="523">
        <f t="shared" si="23"/>
        <v>0.25</v>
      </c>
      <c r="AZ56" s="523" t="e">
        <f t="shared" si="24"/>
        <v>#DIV/0!</v>
      </c>
      <c r="BA56" s="523"/>
      <c r="BB56" s="517">
        <v>1</v>
      </c>
      <c r="BC56" s="522" t="s">
        <v>477</v>
      </c>
      <c r="BD56" s="518">
        <v>0</v>
      </c>
      <c r="BE56" s="524"/>
      <c r="BF56" s="524"/>
      <c r="BG56" s="517">
        <f t="shared" si="25"/>
        <v>0</v>
      </c>
      <c r="BH56" s="517" t="e">
        <f t="shared" si="26"/>
        <v>#DIV/0!</v>
      </c>
      <c r="BI56" s="517">
        <f t="shared" si="27"/>
        <v>0.25</v>
      </c>
      <c r="BJ56" s="517" t="e">
        <f t="shared" si="28"/>
        <v>#DIV/0!</v>
      </c>
      <c r="BK56" s="517"/>
      <c r="BL56" s="580">
        <f t="shared" si="6"/>
        <v>1</v>
      </c>
      <c r="BM56" s="580" t="str">
        <f t="shared" si="7"/>
        <v>No Prog ni Ejec</v>
      </c>
      <c r="BN56" s="580">
        <f t="shared" si="8"/>
        <v>0</v>
      </c>
      <c r="BO56" s="580" t="str">
        <f t="shared" si="9"/>
        <v>No Prog ni Ejec</v>
      </c>
      <c r="BP56" s="580">
        <f t="shared" si="29"/>
        <v>0</v>
      </c>
      <c r="BQ56" s="580" t="str">
        <f t="shared" si="30"/>
        <v>No Prog ni Ejec</v>
      </c>
      <c r="BR56" s="580">
        <f t="shared" si="10"/>
        <v>0</v>
      </c>
      <c r="BS56" s="580" t="str">
        <f t="shared" si="11"/>
        <v>No Prog ni Ejec</v>
      </c>
      <c r="BT56" s="525">
        <f t="shared" si="15"/>
        <v>1.5833333333333333</v>
      </c>
      <c r="BU56" s="526" t="str">
        <f t="shared" si="31"/>
        <v>Elaboración de comunicaciones con las conclusiones del procedimiento de la auditoría de reintegro de recursos</v>
      </c>
      <c r="BV56" s="527">
        <f t="shared" si="13"/>
        <v>0</v>
      </c>
      <c r="BW56" s="524"/>
      <c r="BX56" s="524"/>
      <c r="BY56" s="524"/>
      <c r="BZ56" s="524"/>
      <c r="CA56" s="524"/>
      <c r="CB56" s="524"/>
      <c r="CC56" s="524"/>
    </row>
    <row r="57" spans="1:81" s="457" customFormat="1" ht="63.75" x14ac:dyDescent="0.25">
      <c r="A57" s="513">
        <v>11400</v>
      </c>
      <c r="B57" s="514" t="s">
        <v>26</v>
      </c>
      <c r="C57" s="515" t="s">
        <v>188</v>
      </c>
      <c r="D57" s="514" t="s">
        <v>144</v>
      </c>
      <c r="E57" s="515" t="s">
        <v>493</v>
      </c>
      <c r="F57" s="514" t="s">
        <v>200</v>
      </c>
      <c r="G57" s="516" t="s">
        <v>123</v>
      </c>
      <c r="H57" s="517">
        <v>1</v>
      </c>
      <c r="I57" s="515" t="s">
        <v>494</v>
      </c>
      <c r="J57" s="514" t="s">
        <v>201</v>
      </c>
      <c r="K57" s="518">
        <v>0</v>
      </c>
      <c r="L57" s="519">
        <v>1</v>
      </c>
      <c r="M57" s="514" t="s">
        <v>46</v>
      </c>
      <c r="N57" s="514" t="s">
        <v>68</v>
      </c>
      <c r="O57" s="514" t="s">
        <v>21</v>
      </c>
      <c r="P57" s="514" t="s">
        <v>36</v>
      </c>
      <c r="Q57" s="514" t="s">
        <v>223</v>
      </c>
      <c r="R57" s="514" t="s">
        <v>238</v>
      </c>
      <c r="S57" s="514" t="s">
        <v>99</v>
      </c>
      <c r="T57" s="519">
        <v>1</v>
      </c>
      <c r="U57" s="520" t="str">
        <f t="shared" si="16"/>
        <v>Solicitud de aclaraciones a las EPS con saldos a favor de ADRES en el proceso LMA</v>
      </c>
      <c r="V57" s="521">
        <f t="shared" si="17"/>
        <v>0</v>
      </c>
      <c r="W57" s="522" t="s">
        <v>117</v>
      </c>
      <c r="X57" s="517">
        <v>0.25</v>
      </c>
      <c r="Y57" s="522" t="s">
        <v>201</v>
      </c>
      <c r="Z57" s="518">
        <v>0</v>
      </c>
      <c r="AA57" s="517">
        <f>(9/9)*0.25</f>
        <v>0.25</v>
      </c>
      <c r="AB57" s="527">
        <v>0</v>
      </c>
      <c r="AC57" s="523">
        <f t="shared" si="18"/>
        <v>1</v>
      </c>
      <c r="AD57" s="523" t="e">
        <f t="shared" si="19"/>
        <v>#DIV/0!</v>
      </c>
      <c r="AE57" s="523">
        <f t="shared" si="14"/>
        <v>0.25</v>
      </c>
      <c r="AF57" s="523" t="e">
        <f t="shared" si="0"/>
        <v>#DIV/0!</v>
      </c>
      <c r="AG57" s="528"/>
      <c r="AH57" s="517">
        <v>1</v>
      </c>
      <c r="AI57" s="522" t="s">
        <v>201</v>
      </c>
      <c r="AJ57" s="518">
        <v>0</v>
      </c>
      <c r="AK57" s="524"/>
      <c r="AL57" s="524"/>
      <c r="AM57" s="523">
        <f t="shared" si="20"/>
        <v>0</v>
      </c>
      <c r="AN57" s="523" t="e">
        <f t="shared" si="1"/>
        <v>#DIV/0!</v>
      </c>
      <c r="AO57" s="523">
        <f t="shared" si="2"/>
        <v>0.25</v>
      </c>
      <c r="AP57" s="523" t="e">
        <f t="shared" si="3"/>
        <v>#DIV/0!</v>
      </c>
      <c r="AQ57" s="523"/>
      <c r="AR57" s="517">
        <v>1</v>
      </c>
      <c r="AS57" s="522" t="s">
        <v>201</v>
      </c>
      <c r="AT57" s="518">
        <v>0</v>
      </c>
      <c r="AU57" s="524"/>
      <c r="AV57" s="524"/>
      <c r="AW57" s="523">
        <f t="shared" si="21"/>
        <v>0</v>
      </c>
      <c r="AX57" s="523" t="e">
        <f t="shared" si="22"/>
        <v>#DIV/0!</v>
      </c>
      <c r="AY57" s="523">
        <f t="shared" si="23"/>
        <v>0.25</v>
      </c>
      <c r="AZ57" s="523" t="e">
        <f t="shared" si="24"/>
        <v>#DIV/0!</v>
      </c>
      <c r="BA57" s="523"/>
      <c r="BB57" s="517">
        <v>1</v>
      </c>
      <c r="BC57" s="522" t="s">
        <v>201</v>
      </c>
      <c r="BD57" s="518">
        <v>0</v>
      </c>
      <c r="BE57" s="524"/>
      <c r="BF57" s="524"/>
      <c r="BG57" s="517">
        <f t="shared" si="25"/>
        <v>0</v>
      </c>
      <c r="BH57" s="517" t="e">
        <f t="shared" si="26"/>
        <v>#DIV/0!</v>
      </c>
      <c r="BI57" s="517">
        <f t="shared" si="27"/>
        <v>0.25</v>
      </c>
      <c r="BJ57" s="517" t="e">
        <f t="shared" si="28"/>
        <v>#DIV/0!</v>
      </c>
      <c r="BK57" s="517"/>
      <c r="BL57" s="580">
        <f t="shared" si="6"/>
        <v>1</v>
      </c>
      <c r="BM57" s="580" t="str">
        <f t="shared" si="7"/>
        <v>No Prog ni Ejec</v>
      </c>
      <c r="BN57" s="580">
        <f t="shared" si="8"/>
        <v>0</v>
      </c>
      <c r="BO57" s="580" t="str">
        <f t="shared" si="9"/>
        <v>No Prog ni Ejec</v>
      </c>
      <c r="BP57" s="580">
        <f t="shared" si="29"/>
        <v>0</v>
      </c>
      <c r="BQ57" s="580" t="str">
        <f t="shared" si="30"/>
        <v>No Prog ni Ejec</v>
      </c>
      <c r="BR57" s="580">
        <f t="shared" si="10"/>
        <v>0</v>
      </c>
      <c r="BS57" s="580" t="str">
        <f t="shared" si="11"/>
        <v>No Prog ni Ejec</v>
      </c>
      <c r="BT57" s="525">
        <f t="shared" si="15"/>
        <v>1.5833333333333333</v>
      </c>
      <c r="BU57" s="526" t="str">
        <f t="shared" si="31"/>
        <v>Solicitud de aclaraciones a las EPS con saldos a favor de ADRES en el proceso LMA</v>
      </c>
      <c r="BV57" s="527">
        <f t="shared" si="13"/>
        <v>0</v>
      </c>
      <c r="BW57" s="524"/>
      <c r="BX57" s="524"/>
      <c r="BY57" s="524"/>
      <c r="BZ57" s="524"/>
      <c r="CA57" s="524"/>
      <c r="CB57" s="524"/>
      <c r="CC57" s="524"/>
    </row>
    <row r="58" spans="1:81" s="457" customFormat="1" ht="63.75" x14ac:dyDescent="0.25">
      <c r="A58" s="513">
        <v>11400</v>
      </c>
      <c r="B58" s="514" t="s">
        <v>26</v>
      </c>
      <c r="C58" s="515" t="s">
        <v>188</v>
      </c>
      <c r="D58" s="514" t="s">
        <v>144</v>
      </c>
      <c r="E58" s="515" t="s">
        <v>495</v>
      </c>
      <c r="F58" s="514" t="s">
        <v>202</v>
      </c>
      <c r="G58" s="516" t="s">
        <v>124</v>
      </c>
      <c r="H58" s="515">
        <v>1</v>
      </c>
      <c r="I58" s="515" t="s">
        <v>496</v>
      </c>
      <c r="J58" s="514" t="s">
        <v>203</v>
      </c>
      <c r="K58" s="518">
        <v>0</v>
      </c>
      <c r="L58" s="519">
        <v>1</v>
      </c>
      <c r="M58" s="514" t="s">
        <v>46</v>
      </c>
      <c r="N58" s="514" t="s">
        <v>68</v>
      </c>
      <c r="O58" s="514" t="s">
        <v>34</v>
      </c>
      <c r="P58" s="514" t="s">
        <v>35</v>
      </c>
      <c r="Q58" s="514" t="s">
        <v>225</v>
      </c>
      <c r="R58" s="514" t="s">
        <v>508</v>
      </c>
      <c r="S58" s="514" t="s">
        <v>99</v>
      </c>
      <c r="T58" s="547">
        <v>1</v>
      </c>
      <c r="U58" s="520" t="str">
        <f t="shared" si="16"/>
        <v>No. De Compras de Carteras realizadas</v>
      </c>
      <c r="V58" s="521">
        <f t="shared" si="17"/>
        <v>0</v>
      </c>
      <c r="W58" s="522" t="s">
        <v>117</v>
      </c>
      <c r="X58" s="547">
        <v>0</v>
      </c>
      <c r="Y58" s="522" t="s">
        <v>203</v>
      </c>
      <c r="Z58" s="518">
        <v>0</v>
      </c>
      <c r="AA58" s="547">
        <v>0</v>
      </c>
      <c r="AB58" s="518">
        <v>0</v>
      </c>
      <c r="AC58" s="523" t="e">
        <f t="shared" si="18"/>
        <v>#DIV/0!</v>
      </c>
      <c r="AD58" s="523" t="e">
        <f t="shared" si="19"/>
        <v>#DIV/0!</v>
      </c>
      <c r="AE58" s="523">
        <f t="shared" si="14"/>
        <v>0</v>
      </c>
      <c r="AF58" s="523" t="e">
        <f t="shared" si="0"/>
        <v>#DIV/0!</v>
      </c>
      <c r="AG58" s="528"/>
      <c r="AH58" s="547">
        <v>0</v>
      </c>
      <c r="AI58" s="522" t="s">
        <v>203</v>
      </c>
      <c r="AJ58" s="518">
        <v>0</v>
      </c>
      <c r="AK58" s="524"/>
      <c r="AL58" s="524"/>
      <c r="AM58" s="523" t="e">
        <f t="shared" si="20"/>
        <v>#DIV/0!</v>
      </c>
      <c r="AN58" s="523" t="e">
        <f t="shared" si="1"/>
        <v>#DIV/0!</v>
      </c>
      <c r="AO58" s="523">
        <f t="shared" si="2"/>
        <v>0</v>
      </c>
      <c r="AP58" s="523" t="e">
        <f t="shared" si="3"/>
        <v>#DIV/0!</v>
      </c>
      <c r="AQ58" s="523"/>
      <c r="AR58" s="547">
        <v>0</v>
      </c>
      <c r="AS58" s="522" t="s">
        <v>203</v>
      </c>
      <c r="AT58" s="518">
        <v>0</v>
      </c>
      <c r="AU58" s="524"/>
      <c r="AV58" s="524"/>
      <c r="AW58" s="523" t="e">
        <f t="shared" si="21"/>
        <v>#DIV/0!</v>
      </c>
      <c r="AX58" s="523" t="e">
        <f t="shared" si="22"/>
        <v>#DIV/0!</v>
      </c>
      <c r="AY58" s="523">
        <f t="shared" si="23"/>
        <v>0</v>
      </c>
      <c r="AZ58" s="523" t="e">
        <f t="shared" si="24"/>
        <v>#DIV/0!</v>
      </c>
      <c r="BA58" s="523"/>
      <c r="BB58" s="547">
        <v>1</v>
      </c>
      <c r="BC58" s="522" t="s">
        <v>203</v>
      </c>
      <c r="BD58" s="518">
        <v>0</v>
      </c>
      <c r="BE58" s="524"/>
      <c r="BF58" s="524"/>
      <c r="BG58" s="517">
        <f t="shared" si="25"/>
        <v>0</v>
      </c>
      <c r="BH58" s="517" t="e">
        <f t="shared" si="26"/>
        <v>#DIV/0!</v>
      </c>
      <c r="BI58" s="517">
        <f t="shared" si="27"/>
        <v>0</v>
      </c>
      <c r="BJ58" s="517" t="e">
        <f t="shared" si="28"/>
        <v>#DIV/0!</v>
      </c>
      <c r="BK58" s="517"/>
      <c r="BL58" s="580" t="str">
        <f t="shared" si="6"/>
        <v>No Prog ni Ejec</v>
      </c>
      <c r="BM58" s="580" t="str">
        <f t="shared" si="7"/>
        <v>No Prog ni Ejec</v>
      </c>
      <c r="BN58" s="580" t="str">
        <f t="shared" si="8"/>
        <v>No Prog ni Ejec</v>
      </c>
      <c r="BO58" s="580" t="str">
        <f t="shared" si="9"/>
        <v>No Prog ni Ejec</v>
      </c>
      <c r="BP58" s="580" t="str">
        <f t="shared" si="29"/>
        <v>No Prog ni Ejec</v>
      </c>
      <c r="BQ58" s="580" t="str">
        <f t="shared" si="30"/>
        <v>No Prog ni Ejec</v>
      </c>
      <c r="BR58" s="580">
        <f t="shared" si="10"/>
        <v>0</v>
      </c>
      <c r="BS58" s="580" t="str">
        <f t="shared" si="11"/>
        <v>No Prog ni Ejec</v>
      </c>
      <c r="BT58" s="553">
        <f t="shared" si="15"/>
        <v>0</v>
      </c>
      <c r="BU58" s="526" t="str">
        <f t="shared" si="31"/>
        <v>No. De Compras de Carteras realizadas</v>
      </c>
      <c r="BV58" s="527">
        <f t="shared" si="13"/>
        <v>0</v>
      </c>
      <c r="BW58" s="524"/>
      <c r="BX58" s="524"/>
      <c r="BY58" s="524"/>
      <c r="BZ58" s="524"/>
      <c r="CA58" s="524"/>
      <c r="CB58" s="524"/>
      <c r="CC58" s="524"/>
    </row>
    <row r="59" spans="1:81" s="457" customFormat="1" ht="76.5" x14ac:dyDescent="0.25">
      <c r="A59" s="513">
        <v>11400</v>
      </c>
      <c r="B59" s="514" t="s">
        <v>26</v>
      </c>
      <c r="C59" s="515" t="s">
        <v>188</v>
      </c>
      <c r="D59" s="514" t="s">
        <v>144</v>
      </c>
      <c r="E59" s="515" t="s">
        <v>497</v>
      </c>
      <c r="F59" s="514" t="s">
        <v>204</v>
      </c>
      <c r="G59" s="516" t="s">
        <v>123</v>
      </c>
      <c r="H59" s="517">
        <v>1</v>
      </c>
      <c r="I59" s="515" t="s">
        <v>498</v>
      </c>
      <c r="J59" s="514" t="s">
        <v>205</v>
      </c>
      <c r="K59" s="518">
        <v>0</v>
      </c>
      <c r="L59" s="519">
        <v>1</v>
      </c>
      <c r="M59" s="514" t="s">
        <v>46</v>
      </c>
      <c r="N59" s="514" t="s">
        <v>68</v>
      </c>
      <c r="O59" s="514" t="s">
        <v>34</v>
      </c>
      <c r="P59" s="514" t="s">
        <v>35</v>
      </c>
      <c r="Q59" s="514" t="s">
        <v>225</v>
      </c>
      <c r="R59" s="514" t="s">
        <v>509</v>
      </c>
      <c r="S59" s="514" t="s">
        <v>99</v>
      </c>
      <c r="T59" s="519">
        <v>1</v>
      </c>
      <c r="U59" s="520" t="str">
        <f t="shared" si="16"/>
        <v>Certificaciones remitidas</v>
      </c>
      <c r="V59" s="521">
        <f t="shared" si="17"/>
        <v>0</v>
      </c>
      <c r="W59" s="522" t="s">
        <v>117</v>
      </c>
      <c r="X59" s="517">
        <v>0.25</v>
      </c>
      <c r="Y59" s="522" t="s">
        <v>205</v>
      </c>
      <c r="Z59" s="518">
        <v>0</v>
      </c>
      <c r="AA59" s="603">
        <f>(8/8)*25%</f>
        <v>0.25</v>
      </c>
      <c r="AB59" s="518">
        <v>0</v>
      </c>
      <c r="AC59" s="523">
        <f t="shared" si="18"/>
        <v>1</v>
      </c>
      <c r="AD59" s="523" t="e">
        <f t="shared" si="19"/>
        <v>#DIV/0!</v>
      </c>
      <c r="AE59" s="523">
        <f t="shared" si="14"/>
        <v>0.25</v>
      </c>
      <c r="AF59" s="523" t="e">
        <f t="shared" si="0"/>
        <v>#DIV/0!</v>
      </c>
      <c r="AG59" s="528" t="s">
        <v>910</v>
      </c>
      <c r="AH59" s="517">
        <v>1</v>
      </c>
      <c r="AI59" s="522" t="s">
        <v>205</v>
      </c>
      <c r="AJ59" s="518">
        <v>0</v>
      </c>
      <c r="AK59" s="524"/>
      <c r="AL59" s="524"/>
      <c r="AM59" s="523">
        <f t="shared" si="20"/>
        <v>0</v>
      </c>
      <c r="AN59" s="523" t="e">
        <f t="shared" si="1"/>
        <v>#DIV/0!</v>
      </c>
      <c r="AO59" s="523">
        <f t="shared" si="2"/>
        <v>0.25</v>
      </c>
      <c r="AP59" s="523" t="e">
        <f t="shared" si="3"/>
        <v>#DIV/0!</v>
      </c>
      <c r="AQ59" s="523"/>
      <c r="AR59" s="517">
        <v>1</v>
      </c>
      <c r="AS59" s="522" t="s">
        <v>205</v>
      </c>
      <c r="AT59" s="518">
        <v>0</v>
      </c>
      <c r="AU59" s="524"/>
      <c r="AV59" s="524"/>
      <c r="AW59" s="523">
        <f t="shared" si="21"/>
        <v>0</v>
      </c>
      <c r="AX59" s="523" t="e">
        <f t="shared" si="22"/>
        <v>#DIV/0!</v>
      </c>
      <c r="AY59" s="523">
        <f t="shared" si="23"/>
        <v>0.25</v>
      </c>
      <c r="AZ59" s="523" t="e">
        <f t="shared" si="24"/>
        <v>#DIV/0!</v>
      </c>
      <c r="BA59" s="523"/>
      <c r="BB59" s="517">
        <v>1</v>
      </c>
      <c r="BC59" s="522" t="s">
        <v>205</v>
      </c>
      <c r="BD59" s="518">
        <v>0</v>
      </c>
      <c r="BE59" s="524"/>
      <c r="BF59" s="524"/>
      <c r="BG59" s="517">
        <f t="shared" si="25"/>
        <v>0</v>
      </c>
      <c r="BH59" s="517" t="e">
        <f t="shared" si="26"/>
        <v>#DIV/0!</v>
      </c>
      <c r="BI59" s="517">
        <f t="shared" si="27"/>
        <v>0.25</v>
      </c>
      <c r="BJ59" s="517" t="e">
        <f t="shared" si="28"/>
        <v>#DIV/0!</v>
      </c>
      <c r="BK59" s="517"/>
      <c r="BL59" s="580">
        <f t="shared" si="6"/>
        <v>1</v>
      </c>
      <c r="BM59" s="580" t="str">
        <f t="shared" si="7"/>
        <v>No Prog ni Ejec</v>
      </c>
      <c r="BN59" s="580">
        <f t="shared" si="8"/>
        <v>0</v>
      </c>
      <c r="BO59" s="580" t="str">
        <f t="shared" si="9"/>
        <v>No Prog ni Ejec</v>
      </c>
      <c r="BP59" s="580">
        <f t="shared" si="29"/>
        <v>0</v>
      </c>
      <c r="BQ59" s="580" t="str">
        <f t="shared" si="30"/>
        <v>No Prog ni Ejec</v>
      </c>
      <c r="BR59" s="580">
        <f t="shared" si="10"/>
        <v>0</v>
      </c>
      <c r="BS59" s="580" t="str">
        <f t="shared" si="11"/>
        <v>No Prog ni Ejec</v>
      </c>
      <c r="BT59" s="525">
        <f t="shared" si="15"/>
        <v>1.5833333333333333</v>
      </c>
      <c r="BU59" s="526" t="str">
        <f t="shared" si="31"/>
        <v>Certificaciones remitidas</v>
      </c>
      <c r="BV59" s="527">
        <f t="shared" si="13"/>
        <v>0</v>
      </c>
      <c r="BW59" s="524"/>
      <c r="BX59" s="524"/>
      <c r="BY59" s="524"/>
      <c r="BZ59" s="524"/>
      <c r="CA59" s="524"/>
      <c r="CB59" s="524"/>
      <c r="CC59" s="524"/>
    </row>
    <row r="60" spans="1:81" s="457" customFormat="1" ht="89.25" x14ac:dyDescent="0.25">
      <c r="A60" s="513">
        <v>11400</v>
      </c>
      <c r="B60" s="514" t="s">
        <v>26</v>
      </c>
      <c r="C60" s="515" t="s">
        <v>239</v>
      </c>
      <c r="D60" s="514" t="s">
        <v>144</v>
      </c>
      <c r="E60" s="515" t="s">
        <v>499</v>
      </c>
      <c r="F60" s="514" t="s">
        <v>206</v>
      </c>
      <c r="G60" s="516" t="s">
        <v>123</v>
      </c>
      <c r="H60" s="517">
        <v>1</v>
      </c>
      <c r="I60" s="515" t="s">
        <v>500</v>
      </c>
      <c r="J60" s="514" t="s">
        <v>205</v>
      </c>
      <c r="K60" s="518">
        <v>0</v>
      </c>
      <c r="L60" s="519">
        <v>1</v>
      </c>
      <c r="M60" s="514" t="s">
        <v>46</v>
      </c>
      <c r="N60" s="514" t="s">
        <v>68</v>
      </c>
      <c r="O60" s="514" t="s">
        <v>34</v>
      </c>
      <c r="P60" s="514" t="s">
        <v>35</v>
      </c>
      <c r="Q60" s="514" t="s">
        <v>225</v>
      </c>
      <c r="R60" s="514" t="s">
        <v>509</v>
      </c>
      <c r="S60" s="514" t="s">
        <v>99</v>
      </c>
      <c r="T60" s="519">
        <v>1</v>
      </c>
      <c r="U60" s="520" t="str">
        <f t="shared" si="16"/>
        <v>Certificaciones remitidas</v>
      </c>
      <c r="V60" s="521">
        <f t="shared" si="17"/>
        <v>0</v>
      </c>
      <c r="W60" s="522" t="s">
        <v>117</v>
      </c>
      <c r="X60" s="517">
        <v>0.25</v>
      </c>
      <c r="Y60" s="522" t="s">
        <v>205</v>
      </c>
      <c r="Z60" s="518">
        <v>0</v>
      </c>
      <c r="AA60" s="603">
        <f>(59/59)*25%</f>
        <v>0.25</v>
      </c>
      <c r="AB60" s="518">
        <v>0</v>
      </c>
      <c r="AC60" s="523">
        <f t="shared" si="18"/>
        <v>1</v>
      </c>
      <c r="AD60" s="523" t="e">
        <f t="shared" si="19"/>
        <v>#DIV/0!</v>
      </c>
      <c r="AE60" s="523">
        <f t="shared" si="14"/>
        <v>0.25</v>
      </c>
      <c r="AF60" s="523" t="e">
        <f t="shared" si="0"/>
        <v>#DIV/0!</v>
      </c>
      <c r="AG60" s="528" t="s">
        <v>911</v>
      </c>
      <c r="AH60" s="517">
        <v>1</v>
      </c>
      <c r="AI60" s="522" t="s">
        <v>205</v>
      </c>
      <c r="AJ60" s="518">
        <v>0</v>
      </c>
      <c r="AK60" s="524"/>
      <c r="AL60" s="524"/>
      <c r="AM60" s="523">
        <f t="shared" si="20"/>
        <v>0</v>
      </c>
      <c r="AN60" s="523" t="e">
        <f t="shared" si="1"/>
        <v>#DIV/0!</v>
      </c>
      <c r="AO60" s="523">
        <f t="shared" si="2"/>
        <v>0.25</v>
      </c>
      <c r="AP60" s="523" t="e">
        <f t="shared" si="3"/>
        <v>#DIV/0!</v>
      </c>
      <c r="AQ60" s="523"/>
      <c r="AR60" s="517">
        <v>1</v>
      </c>
      <c r="AS60" s="522" t="s">
        <v>205</v>
      </c>
      <c r="AT60" s="518">
        <v>0</v>
      </c>
      <c r="AU60" s="524"/>
      <c r="AV60" s="524"/>
      <c r="AW60" s="523">
        <f t="shared" si="21"/>
        <v>0</v>
      </c>
      <c r="AX60" s="523" t="e">
        <f t="shared" si="22"/>
        <v>#DIV/0!</v>
      </c>
      <c r="AY60" s="523">
        <f t="shared" si="23"/>
        <v>0.25</v>
      </c>
      <c r="AZ60" s="523" t="e">
        <f t="shared" si="24"/>
        <v>#DIV/0!</v>
      </c>
      <c r="BA60" s="523"/>
      <c r="BB60" s="517">
        <v>1</v>
      </c>
      <c r="BC60" s="522" t="s">
        <v>205</v>
      </c>
      <c r="BD60" s="518">
        <v>0</v>
      </c>
      <c r="BE60" s="524"/>
      <c r="BF60" s="524"/>
      <c r="BG60" s="517">
        <f t="shared" si="25"/>
        <v>0</v>
      </c>
      <c r="BH60" s="517" t="e">
        <f t="shared" si="26"/>
        <v>#DIV/0!</v>
      </c>
      <c r="BI60" s="517">
        <f t="shared" si="27"/>
        <v>0.25</v>
      </c>
      <c r="BJ60" s="517" t="e">
        <f t="shared" si="28"/>
        <v>#DIV/0!</v>
      </c>
      <c r="BK60" s="517"/>
      <c r="BL60" s="580">
        <f t="shared" si="6"/>
        <v>1</v>
      </c>
      <c r="BM60" s="580" t="str">
        <f t="shared" si="7"/>
        <v>No Prog ni Ejec</v>
      </c>
      <c r="BN60" s="580">
        <f t="shared" si="8"/>
        <v>0</v>
      </c>
      <c r="BO60" s="580" t="str">
        <f t="shared" si="9"/>
        <v>No Prog ni Ejec</v>
      </c>
      <c r="BP60" s="580">
        <f t="shared" si="29"/>
        <v>0</v>
      </c>
      <c r="BQ60" s="580" t="str">
        <f t="shared" si="30"/>
        <v>No Prog ni Ejec</v>
      </c>
      <c r="BR60" s="580">
        <f t="shared" si="10"/>
        <v>0</v>
      </c>
      <c r="BS60" s="580" t="str">
        <f t="shared" si="11"/>
        <v>No Prog ni Ejec</v>
      </c>
      <c r="BT60" s="525">
        <f t="shared" si="15"/>
        <v>1.5833333333333333</v>
      </c>
      <c r="BU60" s="526" t="str">
        <f t="shared" si="31"/>
        <v>Certificaciones remitidas</v>
      </c>
      <c r="BV60" s="527">
        <f t="shared" si="13"/>
        <v>0</v>
      </c>
      <c r="BW60" s="524"/>
      <c r="BX60" s="524"/>
      <c r="BY60" s="524"/>
      <c r="BZ60" s="524"/>
      <c r="CA60" s="524"/>
      <c r="CB60" s="524"/>
      <c r="CC60" s="524"/>
    </row>
    <row r="61" spans="1:81" s="457" customFormat="1" ht="89.25" x14ac:dyDescent="0.25">
      <c r="A61" s="513">
        <v>11400</v>
      </c>
      <c r="B61" s="514" t="s">
        <v>26</v>
      </c>
      <c r="C61" s="515" t="s">
        <v>240</v>
      </c>
      <c r="D61" s="514" t="s">
        <v>144</v>
      </c>
      <c r="E61" s="515" t="s">
        <v>501</v>
      </c>
      <c r="F61" s="514" t="s">
        <v>207</v>
      </c>
      <c r="G61" s="516" t="s">
        <v>123</v>
      </c>
      <c r="H61" s="517">
        <v>1</v>
      </c>
      <c r="I61" s="515" t="s">
        <v>502</v>
      </c>
      <c r="J61" s="514" t="s">
        <v>205</v>
      </c>
      <c r="K61" s="518">
        <v>0</v>
      </c>
      <c r="L61" s="519">
        <v>1</v>
      </c>
      <c r="M61" s="514" t="s">
        <v>46</v>
      </c>
      <c r="N61" s="514" t="s">
        <v>68</v>
      </c>
      <c r="O61" s="514" t="s">
        <v>34</v>
      </c>
      <c r="P61" s="514" t="s">
        <v>35</v>
      </c>
      <c r="Q61" s="514" t="s">
        <v>225</v>
      </c>
      <c r="R61" s="514" t="s">
        <v>509</v>
      </c>
      <c r="S61" s="514" t="s">
        <v>99</v>
      </c>
      <c r="T61" s="519">
        <v>1</v>
      </c>
      <c r="U61" s="520" t="str">
        <f t="shared" si="16"/>
        <v>Certificaciones remitidas</v>
      </c>
      <c r="V61" s="521">
        <f t="shared" si="17"/>
        <v>0</v>
      </c>
      <c r="W61" s="522" t="s">
        <v>117</v>
      </c>
      <c r="X61" s="517">
        <v>0.25</v>
      </c>
      <c r="Y61" s="522" t="s">
        <v>205</v>
      </c>
      <c r="Z61" s="518">
        <v>0</v>
      </c>
      <c r="AA61" s="603">
        <f>(21/21)*25%</f>
        <v>0.25</v>
      </c>
      <c r="AB61" s="518">
        <v>0</v>
      </c>
      <c r="AC61" s="523">
        <f t="shared" si="18"/>
        <v>1</v>
      </c>
      <c r="AD61" s="523" t="e">
        <f t="shared" si="19"/>
        <v>#DIV/0!</v>
      </c>
      <c r="AE61" s="523">
        <f t="shared" si="14"/>
        <v>0.25</v>
      </c>
      <c r="AF61" s="523" t="e">
        <f t="shared" si="0"/>
        <v>#DIV/0!</v>
      </c>
      <c r="AG61" s="528" t="s">
        <v>912</v>
      </c>
      <c r="AH61" s="517">
        <v>1</v>
      </c>
      <c r="AI61" s="522" t="s">
        <v>205</v>
      </c>
      <c r="AJ61" s="518">
        <v>0</v>
      </c>
      <c r="AK61" s="524"/>
      <c r="AL61" s="524"/>
      <c r="AM61" s="523">
        <f t="shared" si="20"/>
        <v>0</v>
      </c>
      <c r="AN61" s="523" t="e">
        <f t="shared" si="1"/>
        <v>#DIV/0!</v>
      </c>
      <c r="AO61" s="523">
        <f t="shared" si="2"/>
        <v>0.25</v>
      </c>
      <c r="AP61" s="523" t="e">
        <f t="shared" si="3"/>
        <v>#DIV/0!</v>
      </c>
      <c r="AQ61" s="523"/>
      <c r="AR61" s="517">
        <v>1</v>
      </c>
      <c r="AS61" s="522" t="s">
        <v>205</v>
      </c>
      <c r="AT61" s="518">
        <v>0</v>
      </c>
      <c r="AU61" s="524"/>
      <c r="AV61" s="524"/>
      <c r="AW61" s="523">
        <f t="shared" si="21"/>
        <v>0</v>
      </c>
      <c r="AX61" s="523" t="e">
        <f t="shared" si="22"/>
        <v>#DIV/0!</v>
      </c>
      <c r="AY61" s="523">
        <f t="shared" si="23"/>
        <v>0.25</v>
      </c>
      <c r="AZ61" s="523" t="e">
        <f t="shared" si="24"/>
        <v>#DIV/0!</v>
      </c>
      <c r="BA61" s="523"/>
      <c r="BB61" s="517">
        <v>1</v>
      </c>
      <c r="BC61" s="522" t="s">
        <v>205</v>
      </c>
      <c r="BD61" s="518">
        <v>0</v>
      </c>
      <c r="BE61" s="524"/>
      <c r="BF61" s="524"/>
      <c r="BG61" s="517">
        <f t="shared" si="25"/>
        <v>0</v>
      </c>
      <c r="BH61" s="517" t="e">
        <f t="shared" si="26"/>
        <v>#DIV/0!</v>
      </c>
      <c r="BI61" s="517">
        <f t="shared" si="27"/>
        <v>0.25</v>
      </c>
      <c r="BJ61" s="517" t="e">
        <f t="shared" si="28"/>
        <v>#DIV/0!</v>
      </c>
      <c r="BK61" s="517"/>
      <c r="BL61" s="580">
        <f t="shared" si="6"/>
        <v>1</v>
      </c>
      <c r="BM61" s="580" t="str">
        <f t="shared" si="7"/>
        <v>No Prog ni Ejec</v>
      </c>
      <c r="BN61" s="580">
        <f t="shared" si="8"/>
        <v>0</v>
      </c>
      <c r="BO61" s="580" t="str">
        <f t="shared" si="9"/>
        <v>No Prog ni Ejec</v>
      </c>
      <c r="BP61" s="580">
        <f t="shared" si="29"/>
        <v>0</v>
      </c>
      <c r="BQ61" s="580" t="str">
        <f t="shared" si="30"/>
        <v>No Prog ni Ejec</v>
      </c>
      <c r="BR61" s="580">
        <f t="shared" si="10"/>
        <v>0</v>
      </c>
      <c r="BS61" s="580" t="str">
        <f t="shared" si="11"/>
        <v>No Prog ni Ejec</v>
      </c>
      <c r="BT61" s="525">
        <f t="shared" si="15"/>
        <v>1.5833333333333333</v>
      </c>
      <c r="BU61" s="526" t="str">
        <f t="shared" si="31"/>
        <v>Certificaciones remitidas</v>
      </c>
      <c r="BV61" s="527">
        <f t="shared" si="13"/>
        <v>0</v>
      </c>
      <c r="BW61" s="524"/>
      <c r="BX61" s="524"/>
      <c r="BY61" s="524"/>
      <c r="BZ61" s="524"/>
      <c r="CA61" s="524"/>
      <c r="CB61" s="524"/>
      <c r="CC61" s="524"/>
    </row>
    <row r="62" spans="1:81" s="457" customFormat="1" ht="89.25" x14ac:dyDescent="0.25">
      <c r="A62" s="513">
        <v>11400</v>
      </c>
      <c r="B62" s="514" t="s">
        <v>26</v>
      </c>
      <c r="C62" s="515" t="s">
        <v>241</v>
      </c>
      <c r="D62" s="514" t="s">
        <v>144</v>
      </c>
      <c r="E62" s="515" t="s">
        <v>503</v>
      </c>
      <c r="F62" s="514" t="s">
        <v>208</v>
      </c>
      <c r="G62" s="516" t="s">
        <v>123</v>
      </c>
      <c r="H62" s="517">
        <v>1</v>
      </c>
      <c r="I62" s="515" t="s">
        <v>504</v>
      </c>
      <c r="J62" s="514" t="s">
        <v>205</v>
      </c>
      <c r="K62" s="518">
        <v>0</v>
      </c>
      <c r="L62" s="519">
        <v>1</v>
      </c>
      <c r="M62" s="514" t="s">
        <v>46</v>
      </c>
      <c r="N62" s="514" t="s">
        <v>68</v>
      </c>
      <c r="O62" s="514" t="s">
        <v>34</v>
      </c>
      <c r="P62" s="514" t="s">
        <v>35</v>
      </c>
      <c r="Q62" s="514" t="s">
        <v>225</v>
      </c>
      <c r="R62" s="514" t="s">
        <v>509</v>
      </c>
      <c r="S62" s="514" t="s">
        <v>99</v>
      </c>
      <c r="T62" s="519">
        <v>1</v>
      </c>
      <c r="U62" s="520" t="str">
        <f t="shared" si="16"/>
        <v>Certificaciones remitidas</v>
      </c>
      <c r="V62" s="521">
        <f t="shared" si="17"/>
        <v>0</v>
      </c>
      <c r="W62" s="522" t="s">
        <v>117</v>
      </c>
      <c r="X62" s="517">
        <v>0.25</v>
      </c>
      <c r="Y62" s="522" t="s">
        <v>205</v>
      </c>
      <c r="Z62" s="518">
        <v>0</v>
      </c>
      <c r="AA62" s="603">
        <f>(15/15)*25%</f>
        <v>0.25</v>
      </c>
      <c r="AB62" s="518">
        <v>0</v>
      </c>
      <c r="AC62" s="523">
        <f t="shared" si="18"/>
        <v>1</v>
      </c>
      <c r="AD62" s="523" t="e">
        <f t="shared" si="19"/>
        <v>#DIV/0!</v>
      </c>
      <c r="AE62" s="523">
        <f t="shared" si="14"/>
        <v>0.25</v>
      </c>
      <c r="AF62" s="523" t="e">
        <f t="shared" si="0"/>
        <v>#DIV/0!</v>
      </c>
      <c r="AG62" s="528" t="s">
        <v>913</v>
      </c>
      <c r="AH62" s="517">
        <v>1</v>
      </c>
      <c r="AI62" s="522" t="s">
        <v>205</v>
      </c>
      <c r="AJ62" s="518">
        <v>0</v>
      </c>
      <c r="AK62" s="524"/>
      <c r="AL62" s="524"/>
      <c r="AM62" s="523">
        <f t="shared" si="20"/>
        <v>0</v>
      </c>
      <c r="AN62" s="523" t="e">
        <f t="shared" si="1"/>
        <v>#DIV/0!</v>
      </c>
      <c r="AO62" s="523">
        <f t="shared" si="2"/>
        <v>0.25</v>
      </c>
      <c r="AP62" s="523" t="e">
        <f t="shared" si="3"/>
        <v>#DIV/0!</v>
      </c>
      <c r="AQ62" s="523"/>
      <c r="AR62" s="517">
        <v>1</v>
      </c>
      <c r="AS62" s="522" t="s">
        <v>205</v>
      </c>
      <c r="AT62" s="518">
        <v>0</v>
      </c>
      <c r="AU62" s="524"/>
      <c r="AV62" s="524"/>
      <c r="AW62" s="523">
        <f t="shared" si="21"/>
        <v>0</v>
      </c>
      <c r="AX62" s="523" t="e">
        <f t="shared" si="22"/>
        <v>#DIV/0!</v>
      </c>
      <c r="AY62" s="523">
        <f t="shared" si="23"/>
        <v>0.25</v>
      </c>
      <c r="AZ62" s="523" t="e">
        <f t="shared" si="24"/>
        <v>#DIV/0!</v>
      </c>
      <c r="BA62" s="523"/>
      <c r="BB62" s="517">
        <v>1</v>
      </c>
      <c r="BC62" s="522" t="s">
        <v>205</v>
      </c>
      <c r="BD62" s="518">
        <v>0</v>
      </c>
      <c r="BE62" s="524"/>
      <c r="BF62" s="524"/>
      <c r="BG62" s="517">
        <f t="shared" si="25"/>
        <v>0</v>
      </c>
      <c r="BH62" s="517" t="e">
        <f t="shared" si="26"/>
        <v>#DIV/0!</v>
      </c>
      <c r="BI62" s="517">
        <f t="shared" si="27"/>
        <v>0.25</v>
      </c>
      <c r="BJ62" s="517" t="e">
        <f t="shared" si="28"/>
        <v>#DIV/0!</v>
      </c>
      <c r="BK62" s="517"/>
      <c r="BL62" s="580">
        <f t="shared" si="6"/>
        <v>1</v>
      </c>
      <c r="BM62" s="580" t="str">
        <f t="shared" si="7"/>
        <v>No Prog ni Ejec</v>
      </c>
      <c r="BN62" s="580">
        <f t="shared" si="8"/>
        <v>0</v>
      </c>
      <c r="BO62" s="580" t="str">
        <f t="shared" si="9"/>
        <v>No Prog ni Ejec</v>
      </c>
      <c r="BP62" s="580">
        <f t="shared" si="29"/>
        <v>0</v>
      </c>
      <c r="BQ62" s="580" t="str">
        <f t="shared" si="30"/>
        <v>No Prog ni Ejec</v>
      </c>
      <c r="BR62" s="580">
        <f t="shared" si="10"/>
        <v>0</v>
      </c>
      <c r="BS62" s="580" t="str">
        <f t="shared" si="11"/>
        <v>No Prog ni Ejec</v>
      </c>
      <c r="BT62" s="525">
        <f t="shared" si="15"/>
        <v>1.5833333333333333</v>
      </c>
      <c r="BU62" s="526" t="str">
        <f t="shared" si="31"/>
        <v>Certificaciones remitidas</v>
      </c>
      <c r="BV62" s="527">
        <f t="shared" si="13"/>
        <v>0</v>
      </c>
      <c r="BW62" s="524"/>
      <c r="BX62" s="524"/>
      <c r="BY62" s="524"/>
      <c r="BZ62" s="524"/>
      <c r="CA62" s="524"/>
      <c r="CB62" s="524"/>
      <c r="CC62" s="524"/>
    </row>
    <row r="63" spans="1:81" s="457" customFormat="1" ht="127.5" x14ac:dyDescent="0.25">
      <c r="A63" s="513">
        <v>11400</v>
      </c>
      <c r="B63" s="514" t="s">
        <v>26</v>
      </c>
      <c r="C63" s="515" t="s">
        <v>242</v>
      </c>
      <c r="D63" s="514" t="s">
        <v>144</v>
      </c>
      <c r="E63" s="515" t="s">
        <v>505</v>
      </c>
      <c r="F63" s="514" t="s">
        <v>243</v>
      </c>
      <c r="G63" s="516" t="s">
        <v>124</v>
      </c>
      <c r="H63" s="515">
        <v>2</v>
      </c>
      <c r="I63" s="515" t="s">
        <v>506</v>
      </c>
      <c r="J63" s="514" t="s">
        <v>244</v>
      </c>
      <c r="K63" s="518">
        <v>55000000</v>
      </c>
      <c r="L63" s="519">
        <v>1</v>
      </c>
      <c r="M63" s="514" t="s">
        <v>46</v>
      </c>
      <c r="N63" s="514" t="s">
        <v>68</v>
      </c>
      <c r="O63" s="514" t="s">
        <v>34</v>
      </c>
      <c r="P63" s="514" t="s">
        <v>36</v>
      </c>
      <c r="Q63" s="514" t="s">
        <v>225</v>
      </c>
      <c r="R63" s="514" t="s">
        <v>510</v>
      </c>
      <c r="S63" s="514" t="s">
        <v>99</v>
      </c>
      <c r="T63" s="547">
        <v>2</v>
      </c>
      <c r="U63" s="520" t="str">
        <f t="shared" si="16"/>
        <v>Elaboración de Estudios del Sector</v>
      </c>
      <c r="V63" s="521">
        <f t="shared" si="17"/>
        <v>55000000</v>
      </c>
      <c r="W63" s="522" t="s">
        <v>114</v>
      </c>
      <c r="X63" s="547">
        <v>0</v>
      </c>
      <c r="Y63" s="522" t="s">
        <v>244</v>
      </c>
      <c r="Z63" s="518">
        <v>55000000</v>
      </c>
      <c r="AA63" s="524">
        <v>2</v>
      </c>
      <c r="AB63" s="527">
        <v>0</v>
      </c>
      <c r="AC63" s="523" t="e">
        <f>+(AA63/X63)</f>
        <v>#DIV/0!</v>
      </c>
      <c r="AD63" s="523">
        <f t="shared" si="19"/>
        <v>0</v>
      </c>
      <c r="AE63" s="523">
        <f t="shared" si="14"/>
        <v>1</v>
      </c>
      <c r="AF63" s="523">
        <f t="shared" si="0"/>
        <v>0</v>
      </c>
      <c r="AG63" s="528" t="s">
        <v>914</v>
      </c>
      <c r="AH63" s="547">
        <v>1</v>
      </c>
      <c r="AI63" s="522" t="s">
        <v>244</v>
      </c>
      <c r="AJ63" s="518">
        <v>0</v>
      </c>
      <c r="AK63" s="524"/>
      <c r="AL63" s="524"/>
      <c r="AM63" s="523">
        <f t="shared" si="20"/>
        <v>0</v>
      </c>
      <c r="AN63" s="523" t="e">
        <f t="shared" si="1"/>
        <v>#DIV/0!</v>
      </c>
      <c r="AO63" s="523">
        <f t="shared" si="2"/>
        <v>1</v>
      </c>
      <c r="AP63" s="523">
        <f t="shared" si="3"/>
        <v>0</v>
      </c>
      <c r="AQ63" s="523"/>
      <c r="AR63" s="547">
        <v>0</v>
      </c>
      <c r="AS63" s="522" t="s">
        <v>244</v>
      </c>
      <c r="AT63" s="518">
        <v>0</v>
      </c>
      <c r="AU63" s="524"/>
      <c r="AV63" s="524"/>
      <c r="AW63" s="523" t="e">
        <f t="shared" si="21"/>
        <v>#DIV/0!</v>
      </c>
      <c r="AX63" s="523" t="e">
        <f t="shared" si="22"/>
        <v>#DIV/0!</v>
      </c>
      <c r="AY63" s="523">
        <f t="shared" si="23"/>
        <v>1</v>
      </c>
      <c r="AZ63" s="523">
        <f t="shared" si="24"/>
        <v>0</v>
      </c>
      <c r="BA63" s="523"/>
      <c r="BB63" s="547">
        <v>1</v>
      </c>
      <c r="BC63" s="522" t="s">
        <v>244</v>
      </c>
      <c r="BD63" s="518">
        <v>0</v>
      </c>
      <c r="BE63" s="524"/>
      <c r="BF63" s="524"/>
      <c r="BG63" s="517">
        <f t="shared" si="25"/>
        <v>0</v>
      </c>
      <c r="BH63" s="517" t="e">
        <f t="shared" si="26"/>
        <v>#DIV/0!</v>
      </c>
      <c r="BI63" s="517">
        <f t="shared" si="27"/>
        <v>1</v>
      </c>
      <c r="BJ63" s="517">
        <f t="shared" si="28"/>
        <v>0</v>
      </c>
      <c r="BK63" s="517"/>
      <c r="BL63" s="580" t="str">
        <f t="shared" si="6"/>
        <v>No Prog, Ejec=  2</v>
      </c>
      <c r="BM63" s="580">
        <f t="shared" si="7"/>
        <v>0</v>
      </c>
      <c r="BN63" s="580">
        <f t="shared" si="8"/>
        <v>0</v>
      </c>
      <c r="BO63" s="580" t="str">
        <f t="shared" si="9"/>
        <v>No Prog ni Ejec</v>
      </c>
      <c r="BP63" s="580" t="str">
        <f t="shared" si="29"/>
        <v>No Prog ni Ejec</v>
      </c>
      <c r="BQ63" s="580" t="str">
        <f t="shared" si="30"/>
        <v>No Prog ni Ejec</v>
      </c>
      <c r="BR63" s="580">
        <f t="shared" si="10"/>
        <v>0</v>
      </c>
      <c r="BS63" s="580" t="str">
        <f t="shared" si="11"/>
        <v>No Prog ni Ejec</v>
      </c>
      <c r="BT63" s="553">
        <f t="shared" si="15"/>
        <v>1</v>
      </c>
      <c r="BU63" s="526" t="str">
        <f t="shared" si="31"/>
        <v>Elaboración de Estudios del Sector</v>
      </c>
      <c r="BV63" s="527">
        <f t="shared" si="13"/>
        <v>55000000</v>
      </c>
      <c r="BW63" s="524"/>
      <c r="BX63" s="524"/>
      <c r="BY63" s="524"/>
      <c r="BZ63" s="524"/>
      <c r="CA63" s="524"/>
      <c r="CB63" s="524"/>
      <c r="CC63" s="524"/>
    </row>
    <row r="64" spans="1:81" s="457" customFormat="1" ht="51" x14ac:dyDescent="0.25">
      <c r="A64" s="513">
        <v>11500</v>
      </c>
      <c r="B64" s="514" t="s">
        <v>28</v>
      </c>
      <c r="C64" s="515" t="s">
        <v>259</v>
      </c>
      <c r="D64" s="514" t="s">
        <v>153</v>
      </c>
      <c r="E64" s="515" t="s">
        <v>290</v>
      </c>
      <c r="F64" s="514" t="s">
        <v>133</v>
      </c>
      <c r="G64" s="516" t="s">
        <v>124</v>
      </c>
      <c r="H64" s="515">
        <v>4</v>
      </c>
      <c r="I64" s="515" t="s">
        <v>276</v>
      </c>
      <c r="J64" s="514" t="s">
        <v>24</v>
      </c>
      <c r="K64" s="518">
        <v>0</v>
      </c>
      <c r="L64" s="519">
        <v>1</v>
      </c>
      <c r="M64" s="514" t="s">
        <v>51</v>
      </c>
      <c r="N64" s="514" t="s">
        <v>68</v>
      </c>
      <c r="O64" s="514" t="s">
        <v>21</v>
      </c>
      <c r="P64" s="514" t="s">
        <v>36</v>
      </c>
      <c r="Q64" s="514" t="s">
        <v>75</v>
      </c>
      <c r="R64" s="514" t="s">
        <v>631</v>
      </c>
      <c r="S64" s="514" t="s">
        <v>98</v>
      </c>
      <c r="T64" s="515">
        <v>4</v>
      </c>
      <c r="U64" s="520" t="str">
        <f t="shared" si="16"/>
        <v>Reportar el cumplimiento del Plan de Acción de la Dependencia</v>
      </c>
      <c r="V64" s="521">
        <f t="shared" si="17"/>
        <v>0</v>
      </c>
      <c r="W64" s="522" t="s">
        <v>117</v>
      </c>
      <c r="X64" s="547">
        <v>1</v>
      </c>
      <c r="Y64" s="522" t="s">
        <v>24</v>
      </c>
      <c r="Z64" s="518">
        <v>0</v>
      </c>
      <c r="AA64" s="524">
        <v>1</v>
      </c>
      <c r="AB64" s="527">
        <v>0</v>
      </c>
      <c r="AC64" s="523">
        <f t="shared" si="18"/>
        <v>1</v>
      </c>
      <c r="AD64" s="523" t="e">
        <f t="shared" si="19"/>
        <v>#DIV/0!</v>
      </c>
      <c r="AE64" s="523">
        <f t="shared" si="14"/>
        <v>0.25</v>
      </c>
      <c r="AF64" s="523" t="e">
        <f t="shared" si="0"/>
        <v>#DIV/0!</v>
      </c>
      <c r="AG64" s="523"/>
      <c r="AH64" s="547">
        <v>1</v>
      </c>
      <c r="AI64" s="522" t="s">
        <v>24</v>
      </c>
      <c r="AJ64" s="518">
        <v>0</v>
      </c>
      <c r="AK64" s="524"/>
      <c r="AL64" s="524"/>
      <c r="AM64" s="523">
        <f t="shared" si="20"/>
        <v>0</v>
      </c>
      <c r="AN64" s="523" t="e">
        <f t="shared" si="1"/>
        <v>#DIV/0!</v>
      </c>
      <c r="AO64" s="523">
        <f t="shared" si="2"/>
        <v>0.25</v>
      </c>
      <c r="AP64" s="523" t="e">
        <f t="shared" si="3"/>
        <v>#DIV/0!</v>
      </c>
      <c r="AQ64" s="523"/>
      <c r="AR64" s="547">
        <v>1</v>
      </c>
      <c r="AS64" s="522" t="s">
        <v>24</v>
      </c>
      <c r="AT64" s="518">
        <v>0</v>
      </c>
      <c r="AU64" s="524"/>
      <c r="AV64" s="524"/>
      <c r="AW64" s="523">
        <f t="shared" si="21"/>
        <v>0</v>
      </c>
      <c r="AX64" s="523" t="e">
        <f t="shared" si="22"/>
        <v>#DIV/0!</v>
      </c>
      <c r="AY64" s="523">
        <f t="shared" si="23"/>
        <v>0.25</v>
      </c>
      <c r="AZ64" s="523" t="e">
        <f t="shared" si="24"/>
        <v>#DIV/0!</v>
      </c>
      <c r="BA64" s="523"/>
      <c r="BB64" s="547">
        <v>1</v>
      </c>
      <c r="BC64" s="522" t="s">
        <v>24</v>
      </c>
      <c r="BD64" s="518">
        <v>0</v>
      </c>
      <c r="BE64" s="524"/>
      <c r="BF64" s="524"/>
      <c r="BG64" s="517">
        <f t="shared" si="25"/>
        <v>0</v>
      </c>
      <c r="BH64" s="517" t="e">
        <f t="shared" si="26"/>
        <v>#DIV/0!</v>
      </c>
      <c r="BI64" s="517">
        <f t="shared" si="27"/>
        <v>0.25</v>
      </c>
      <c r="BJ64" s="517" t="e">
        <f t="shared" si="28"/>
        <v>#DIV/0!</v>
      </c>
      <c r="BK64" s="517"/>
      <c r="BL64" s="580">
        <f t="shared" si="6"/>
        <v>1</v>
      </c>
      <c r="BM64" s="580" t="str">
        <f t="shared" si="7"/>
        <v>No Prog ni Ejec</v>
      </c>
      <c r="BN64" s="580">
        <f t="shared" si="8"/>
        <v>0</v>
      </c>
      <c r="BO64" s="580" t="str">
        <f t="shared" si="9"/>
        <v>No Prog ni Ejec</v>
      </c>
      <c r="BP64" s="580">
        <f t="shared" si="29"/>
        <v>0</v>
      </c>
      <c r="BQ64" s="580" t="str">
        <f t="shared" si="30"/>
        <v>No Prog ni Ejec</v>
      </c>
      <c r="BR64" s="580">
        <f t="shared" si="10"/>
        <v>0</v>
      </c>
      <c r="BS64" s="580" t="str">
        <f t="shared" si="11"/>
        <v>No Prog ni Ejec</v>
      </c>
      <c r="BT64" s="553">
        <f t="shared" si="15"/>
        <v>2.3333333333333335</v>
      </c>
      <c r="BU64" s="526" t="str">
        <f t="shared" si="31"/>
        <v>Reportar el cumplimiento del Plan de Acción de la Dependencia</v>
      </c>
      <c r="BV64" s="527">
        <f t="shared" si="13"/>
        <v>0</v>
      </c>
      <c r="BW64" s="524"/>
      <c r="BX64" s="524"/>
      <c r="BY64" s="524"/>
      <c r="BZ64" s="524"/>
      <c r="CA64" s="524"/>
      <c r="CB64" s="524"/>
      <c r="CC64" s="524"/>
    </row>
    <row r="65" spans="1:81" s="457" customFormat="1" ht="89.25" x14ac:dyDescent="0.25">
      <c r="A65" s="513">
        <v>11500</v>
      </c>
      <c r="B65" s="514" t="s">
        <v>28</v>
      </c>
      <c r="C65" s="515" t="s">
        <v>260</v>
      </c>
      <c r="D65" s="514" t="s">
        <v>256</v>
      </c>
      <c r="E65" s="515" t="s">
        <v>261</v>
      </c>
      <c r="F65" s="514" t="s">
        <v>159</v>
      </c>
      <c r="G65" s="516" t="s">
        <v>123</v>
      </c>
      <c r="H65" s="517">
        <v>1</v>
      </c>
      <c r="I65" s="515" t="s">
        <v>274</v>
      </c>
      <c r="J65" s="514" t="s">
        <v>598</v>
      </c>
      <c r="K65" s="518">
        <v>0</v>
      </c>
      <c r="L65" s="519">
        <v>1</v>
      </c>
      <c r="M65" s="514" t="s">
        <v>51</v>
      </c>
      <c r="N65" s="514" t="s">
        <v>68</v>
      </c>
      <c r="O65" s="514" t="s">
        <v>21</v>
      </c>
      <c r="P65" s="514" t="s">
        <v>36</v>
      </c>
      <c r="Q65" s="514" t="s">
        <v>75</v>
      </c>
      <c r="R65" s="514" t="s">
        <v>672</v>
      </c>
      <c r="S65" s="514" t="s">
        <v>98</v>
      </c>
      <c r="T65" s="519">
        <v>1</v>
      </c>
      <c r="U65" s="520" t="str">
        <f t="shared" si="16"/>
        <v>Formular los procesos y procedimientos en el marco del MIPG</v>
      </c>
      <c r="V65" s="521">
        <f t="shared" si="17"/>
        <v>0</v>
      </c>
      <c r="W65" s="522" t="s">
        <v>117</v>
      </c>
      <c r="X65" s="517">
        <v>0.25</v>
      </c>
      <c r="Y65" s="522" t="s">
        <v>598</v>
      </c>
      <c r="Z65" s="518">
        <v>0</v>
      </c>
      <c r="AA65" s="603">
        <f>(6/6)*25%</f>
        <v>0.25</v>
      </c>
      <c r="AB65" s="527">
        <v>0</v>
      </c>
      <c r="AC65" s="523">
        <f t="shared" si="18"/>
        <v>1</v>
      </c>
      <c r="AD65" s="523" t="e">
        <f t="shared" si="19"/>
        <v>#DIV/0!</v>
      </c>
      <c r="AE65" s="523">
        <f t="shared" si="14"/>
        <v>0.25</v>
      </c>
      <c r="AF65" s="523" t="e">
        <f t="shared" si="0"/>
        <v>#DIV/0!</v>
      </c>
      <c r="AG65" s="523"/>
      <c r="AH65" s="517">
        <v>0.25</v>
      </c>
      <c r="AI65" s="522" t="s">
        <v>598</v>
      </c>
      <c r="AJ65" s="518">
        <v>0</v>
      </c>
      <c r="AK65" s="524"/>
      <c r="AL65" s="524"/>
      <c r="AM65" s="523">
        <f t="shared" si="20"/>
        <v>0</v>
      </c>
      <c r="AN65" s="523" t="e">
        <f t="shared" si="1"/>
        <v>#DIV/0!</v>
      </c>
      <c r="AO65" s="523">
        <f t="shared" si="2"/>
        <v>0.25</v>
      </c>
      <c r="AP65" s="523" t="e">
        <f t="shared" si="3"/>
        <v>#DIV/0!</v>
      </c>
      <c r="AQ65" s="523"/>
      <c r="AR65" s="517">
        <v>0.25</v>
      </c>
      <c r="AS65" s="522" t="s">
        <v>598</v>
      </c>
      <c r="AT65" s="518">
        <v>0</v>
      </c>
      <c r="AU65" s="524"/>
      <c r="AV65" s="524"/>
      <c r="AW65" s="523">
        <f t="shared" si="21"/>
        <v>0</v>
      </c>
      <c r="AX65" s="523" t="e">
        <f t="shared" si="22"/>
        <v>#DIV/0!</v>
      </c>
      <c r="AY65" s="523">
        <f t="shared" si="23"/>
        <v>0.25</v>
      </c>
      <c r="AZ65" s="523" t="e">
        <f t="shared" si="24"/>
        <v>#DIV/0!</v>
      </c>
      <c r="BA65" s="523"/>
      <c r="BB65" s="517">
        <v>0.25</v>
      </c>
      <c r="BC65" s="522" t="s">
        <v>598</v>
      </c>
      <c r="BD65" s="518">
        <v>0</v>
      </c>
      <c r="BE65" s="524"/>
      <c r="BF65" s="524"/>
      <c r="BG65" s="517">
        <f t="shared" si="25"/>
        <v>0</v>
      </c>
      <c r="BH65" s="517" t="e">
        <f t="shared" si="26"/>
        <v>#DIV/0!</v>
      </c>
      <c r="BI65" s="517">
        <f t="shared" si="27"/>
        <v>0.25</v>
      </c>
      <c r="BJ65" s="517" t="e">
        <f t="shared" si="28"/>
        <v>#DIV/0!</v>
      </c>
      <c r="BK65" s="517"/>
      <c r="BL65" s="580">
        <f t="shared" si="6"/>
        <v>1</v>
      </c>
      <c r="BM65" s="580" t="str">
        <f t="shared" si="7"/>
        <v>No Prog ni Ejec</v>
      </c>
      <c r="BN65" s="580">
        <f t="shared" si="8"/>
        <v>0</v>
      </c>
      <c r="BO65" s="580" t="str">
        <f t="shared" si="9"/>
        <v>No Prog ni Ejec</v>
      </c>
      <c r="BP65" s="580">
        <f t="shared" si="29"/>
        <v>0</v>
      </c>
      <c r="BQ65" s="580" t="str">
        <f t="shared" si="30"/>
        <v>No Prog ni Ejec</v>
      </c>
      <c r="BR65" s="580">
        <f t="shared" si="10"/>
        <v>0</v>
      </c>
      <c r="BS65" s="580" t="str">
        <f t="shared" si="11"/>
        <v>No Prog ni Ejec</v>
      </c>
      <c r="BT65" s="525">
        <f t="shared" si="15"/>
        <v>0.58333333333333337</v>
      </c>
      <c r="BU65" s="526" t="str">
        <f t="shared" si="31"/>
        <v>Formular los procesos y procedimientos en el marco del MIPG</v>
      </c>
      <c r="BV65" s="527">
        <f t="shared" si="13"/>
        <v>0</v>
      </c>
      <c r="BW65" s="524"/>
      <c r="BX65" s="524"/>
      <c r="BY65" s="524"/>
      <c r="BZ65" s="524"/>
      <c r="CA65" s="524"/>
      <c r="CB65" s="524"/>
      <c r="CC65" s="524"/>
    </row>
    <row r="66" spans="1:81" s="457" customFormat="1" ht="89.25" x14ac:dyDescent="0.25">
      <c r="A66" s="513">
        <v>11500</v>
      </c>
      <c r="B66" s="514" t="s">
        <v>28</v>
      </c>
      <c r="C66" s="515" t="s">
        <v>260</v>
      </c>
      <c r="D66" s="514" t="s">
        <v>256</v>
      </c>
      <c r="E66" s="515" t="s">
        <v>262</v>
      </c>
      <c r="F66" s="514" t="s">
        <v>127</v>
      </c>
      <c r="G66" s="516" t="s">
        <v>123</v>
      </c>
      <c r="H66" s="517">
        <v>1</v>
      </c>
      <c r="I66" s="515" t="s">
        <v>275</v>
      </c>
      <c r="J66" s="514" t="s">
        <v>599</v>
      </c>
      <c r="K66" s="518">
        <v>0</v>
      </c>
      <c r="L66" s="519">
        <v>1</v>
      </c>
      <c r="M66" s="514" t="s">
        <v>51</v>
      </c>
      <c r="N66" s="514" t="s">
        <v>68</v>
      </c>
      <c r="O66" s="514" t="s">
        <v>21</v>
      </c>
      <c r="P66" s="514" t="s">
        <v>36</v>
      </c>
      <c r="Q66" s="514" t="s">
        <v>75</v>
      </c>
      <c r="R66" s="514" t="s">
        <v>570</v>
      </c>
      <c r="S66" s="514" t="s">
        <v>98</v>
      </c>
      <c r="T66" s="519">
        <v>1</v>
      </c>
      <c r="U66" s="520" t="str">
        <f t="shared" si="16"/>
        <v>Remitir informe trimestral de los indicadores formulados y las acciones de mejoras</v>
      </c>
      <c r="V66" s="521">
        <f t="shared" si="17"/>
        <v>0</v>
      </c>
      <c r="W66" s="522" t="s">
        <v>117</v>
      </c>
      <c r="X66" s="517">
        <v>0</v>
      </c>
      <c r="Y66" s="522" t="s">
        <v>599</v>
      </c>
      <c r="Z66" s="518">
        <v>0</v>
      </c>
      <c r="AA66" s="525">
        <v>0</v>
      </c>
      <c r="AB66" s="527">
        <v>0</v>
      </c>
      <c r="AC66" s="523" t="e">
        <f t="shared" si="18"/>
        <v>#DIV/0!</v>
      </c>
      <c r="AD66" s="523" t="e">
        <f t="shared" si="19"/>
        <v>#DIV/0!</v>
      </c>
      <c r="AE66" s="523">
        <f t="shared" si="14"/>
        <v>0</v>
      </c>
      <c r="AF66" s="523" t="e">
        <f t="shared" si="0"/>
        <v>#DIV/0!</v>
      </c>
      <c r="AG66" s="523"/>
      <c r="AH66" s="517">
        <v>0</v>
      </c>
      <c r="AI66" s="522" t="s">
        <v>599</v>
      </c>
      <c r="AJ66" s="518">
        <v>0</v>
      </c>
      <c r="AK66" s="524"/>
      <c r="AL66" s="524"/>
      <c r="AM66" s="523" t="e">
        <f t="shared" si="20"/>
        <v>#DIV/0!</v>
      </c>
      <c r="AN66" s="523" t="e">
        <f t="shared" si="1"/>
        <v>#DIV/0!</v>
      </c>
      <c r="AO66" s="523">
        <f t="shared" si="2"/>
        <v>0</v>
      </c>
      <c r="AP66" s="523" t="e">
        <f t="shared" si="3"/>
        <v>#DIV/0!</v>
      </c>
      <c r="AQ66" s="523"/>
      <c r="AR66" s="517">
        <v>0</v>
      </c>
      <c r="AS66" s="522" t="s">
        <v>599</v>
      </c>
      <c r="AT66" s="518">
        <v>0</v>
      </c>
      <c r="AU66" s="524"/>
      <c r="AV66" s="524"/>
      <c r="AW66" s="523" t="e">
        <f t="shared" si="21"/>
        <v>#DIV/0!</v>
      </c>
      <c r="AX66" s="523" t="e">
        <f t="shared" si="22"/>
        <v>#DIV/0!</v>
      </c>
      <c r="AY66" s="523">
        <f t="shared" si="23"/>
        <v>0</v>
      </c>
      <c r="AZ66" s="523" t="e">
        <f t="shared" si="24"/>
        <v>#DIV/0!</v>
      </c>
      <c r="BA66" s="523"/>
      <c r="BB66" s="517">
        <v>1</v>
      </c>
      <c r="BC66" s="522" t="s">
        <v>599</v>
      </c>
      <c r="BD66" s="518">
        <v>0</v>
      </c>
      <c r="BE66" s="524"/>
      <c r="BF66" s="524"/>
      <c r="BG66" s="517">
        <f t="shared" si="25"/>
        <v>0</v>
      </c>
      <c r="BH66" s="517" t="e">
        <f t="shared" si="26"/>
        <v>#DIV/0!</v>
      </c>
      <c r="BI66" s="517">
        <f t="shared" si="27"/>
        <v>0</v>
      </c>
      <c r="BJ66" s="517" t="e">
        <f t="shared" si="28"/>
        <v>#DIV/0!</v>
      </c>
      <c r="BK66" s="517"/>
      <c r="BL66" s="580" t="str">
        <f t="shared" si="6"/>
        <v>No Prog ni Ejec</v>
      </c>
      <c r="BM66" s="580" t="str">
        <f t="shared" si="7"/>
        <v>No Prog ni Ejec</v>
      </c>
      <c r="BN66" s="580" t="str">
        <f t="shared" si="8"/>
        <v>No Prog ni Ejec</v>
      </c>
      <c r="BO66" s="580" t="str">
        <f t="shared" si="9"/>
        <v>No Prog ni Ejec</v>
      </c>
      <c r="BP66" s="580" t="str">
        <f t="shared" si="29"/>
        <v>No Prog ni Ejec</v>
      </c>
      <c r="BQ66" s="580" t="str">
        <f t="shared" si="30"/>
        <v>No Prog ni Ejec</v>
      </c>
      <c r="BR66" s="580">
        <f t="shared" si="10"/>
        <v>0</v>
      </c>
      <c r="BS66" s="580" t="str">
        <f t="shared" si="11"/>
        <v>No Prog ni Ejec</v>
      </c>
      <c r="BT66" s="525">
        <f t="shared" si="15"/>
        <v>0</v>
      </c>
      <c r="BU66" s="526" t="str">
        <f t="shared" si="31"/>
        <v>Remitir informe trimestral de los indicadores formulados y las acciones de mejoras</v>
      </c>
      <c r="BV66" s="527">
        <f t="shared" si="13"/>
        <v>0</v>
      </c>
      <c r="BW66" s="524"/>
      <c r="BX66" s="524"/>
      <c r="BY66" s="524"/>
      <c r="BZ66" s="524"/>
      <c r="CA66" s="524"/>
      <c r="CB66" s="524"/>
      <c r="CC66" s="524"/>
    </row>
    <row r="67" spans="1:81" s="457" customFormat="1" ht="63.75" x14ac:dyDescent="0.25">
      <c r="A67" s="513">
        <v>11500</v>
      </c>
      <c r="B67" s="514" t="s">
        <v>28</v>
      </c>
      <c r="C67" s="515" t="s">
        <v>263</v>
      </c>
      <c r="D67" s="514" t="s">
        <v>144</v>
      </c>
      <c r="E67" s="515" t="s">
        <v>264</v>
      </c>
      <c r="F67" s="514" t="s">
        <v>600</v>
      </c>
      <c r="G67" s="516" t="s">
        <v>124</v>
      </c>
      <c r="H67" s="515">
        <v>12</v>
      </c>
      <c r="I67" s="515" t="s">
        <v>265</v>
      </c>
      <c r="J67" s="514" t="s">
        <v>601</v>
      </c>
      <c r="K67" s="518">
        <v>0</v>
      </c>
      <c r="L67" s="519">
        <v>1</v>
      </c>
      <c r="M67" s="514" t="s">
        <v>46</v>
      </c>
      <c r="N67" s="514" t="s">
        <v>68</v>
      </c>
      <c r="O67" s="514" t="s">
        <v>21</v>
      </c>
      <c r="P67" s="514" t="s">
        <v>36</v>
      </c>
      <c r="Q67" s="514" t="s">
        <v>211</v>
      </c>
      <c r="R67" s="514" t="s">
        <v>673</v>
      </c>
      <c r="S67" s="514" t="s">
        <v>98</v>
      </c>
      <c r="T67" s="555">
        <v>12</v>
      </c>
      <c r="U67" s="520" t="str">
        <f t="shared" si="16"/>
        <v>Realizar el giro previo efectuados a favor de las entidades recobrantes y proveedores de servicios y tecnologías no incluidas en el PB con cargo a la UPC</v>
      </c>
      <c r="V67" s="521">
        <f>+K67</f>
        <v>0</v>
      </c>
      <c r="W67" s="522" t="s">
        <v>114</v>
      </c>
      <c r="X67" s="547">
        <v>3</v>
      </c>
      <c r="Y67" s="522" t="s">
        <v>601</v>
      </c>
      <c r="Z67" s="518">
        <v>0</v>
      </c>
      <c r="AA67" s="524">
        <v>3</v>
      </c>
      <c r="AB67" s="518">
        <v>0</v>
      </c>
      <c r="AC67" s="523">
        <f t="shared" si="18"/>
        <v>1</v>
      </c>
      <c r="AD67" s="523" t="e">
        <f>+(AB67/Z67)</f>
        <v>#DIV/0!</v>
      </c>
      <c r="AE67" s="523">
        <f t="shared" si="14"/>
        <v>0.25</v>
      </c>
      <c r="AF67" s="523" t="e">
        <f t="shared" si="0"/>
        <v>#DIV/0!</v>
      </c>
      <c r="AG67" s="523"/>
      <c r="AH67" s="547">
        <v>3</v>
      </c>
      <c r="AI67" s="522" t="s">
        <v>601</v>
      </c>
      <c r="AJ67" s="518">
        <v>0</v>
      </c>
      <c r="AK67" s="524"/>
      <c r="AL67" s="524"/>
      <c r="AM67" s="523">
        <f t="shared" si="20"/>
        <v>0</v>
      </c>
      <c r="AN67" s="523" t="e">
        <f t="shared" si="1"/>
        <v>#DIV/0!</v>
      </c>
      <c r="AO67" s="523">
        <f t="shared" si="2"/>
        <v>0.25</v>
      </c>
      <c r="AP67" s="523" t="e">
        <f t="shared" si="3"/>
        <v>#DIV/0!</v>
      </c>
      <c r="AQ67" s="523"/>
      <c r="AR67" s="547">
        <v>3</v>
      </c>
      <c r="AS67" s="522" t="s">
        <v>601</v>
      </c>
      <c r="AT67" s="518">
        <v>0</v>
      </c>
      <c r="AU67" s="524"/>
      <c r="AV67" s="524"/>
      <c r="AW67" s="523">
        <f t="shared" si="21"/>
        <v>0</v>
      </c>
      <c r="AX67" s="523" t="e">
        <f t="shared" si="22"/>
        <v>#DIV/0!</v>
      </c>
      <c r="AY67" s="523">
        <f t="shared" si="23"/>
        <v>0.25</v>
      </c>
      <c r="AZ67" s="523" t="e">
        <f t="shared" si="24"/>
        <v>#DIV/0!</v>
      </c>
      <c r="BA67" s="523"/>
      <c r="BB67" s="547">
        <v>3</v>
      </c>
      <c r="BC67" s="522" t="s">
        <v>601</v>
      </c>
      <c r="BD67" s="518">
        <v>0</v>
      </c>
      <c r="BE67" s="524"/>
      <c r="BF67" s="524"/>
      <c r="BG67" s="517">
        <f t="shared" si="25"/>
        <v>0</v>
      </c>
      <c r="BH67" s="517" t="e">
        <f t="shared" si="26"/>
        <v>#DIV/0!</v>
      </c>
      <c r="BI67" s="517">
        <f t="shared" si="27"/>
        <v>0.25</v>
      </c>
      <c r="BJ67" s="517" t="e">
        <f t="shared" si="28"/>
        <v>#DIV/0!</v>
      </c>
      <c r="BK67" s="517"/>
      <c r="BL67" s="580">
        <f t="shared" si="6"/>
        <v>1</v>
      </c>
      <c r="BM67" s="580" t="str">
        <f t="shared" si="7"/>
        <v>No Prog ni Ejec</v>
      </c>
      <c r="BN67" s="580">
        <f t="shared" si="8"/>
        <v>0</v>
      </c>
      <c r="BO67" s="580" t="str">
        <f t="shared" si="9"/>
        <v>No Prog ni Ejec</v>
      </c>
      <c r="BP67" s="580">
        <f t="shared" si="29"/>
        <v>0</v>
      </c>
      <c r="BQ67" s="580" t="str">
        <f t="shared" si="30"/>
        <v>No Prog ni Ejec</v>
      </c>
      <c r="BR67" s="580">
        <f t="shared" si="10"/>
        <v>0</v>
      </c>
      <c r="BS67" s="580" t="str">
        <f t="shared" si="11"/>
        <v>No Prog ni Ejec</v>
      </c>
      <c r="BT67" s="553">
        <f t="shared" si="15"/>
        <v>7</v>
      </c>
      <c r="BU67" s="526" t="str">
        <f t="shared" si="31"/>
        <v>Realizar el giro previo efectuados a favor de las entidades recobrantes y proveedores de servicios y tecnologías no incluidas en el PB con cargo a la UPC</v>
      </c>
      <c r="BV67" s="527">
        <f t="shared" si="13"/>
        <v>0</v>
      </c>
      <c r="BW67" s="524"/>
      <c r="BX67" s="524"/>
      <c r="BY67" s="524"/>
      <c r="BZ67" s="524"/>
      <c r="CA67" s="524"/>
      <c r="CB67" s="524"/>
      <c r="CC67" s="524"/>
    </row>
    <row r="68" spans="1:81" s="457" customFormat="1" ht="71.25" customHeight="1" x14ac:dyDescent="0.25">
      <c r="A68" s="655">
        <v>11500</v>
      </c>
      <c r="B68" s="657" t="s">
        <v>28</v>
      </c>
      <c r="C68" s="659" t="s">
        <v>263</v>
      </c>
      <c r="D68" s="661" t="s">
        <v>144</v>
      </c>
      <c r="E68" s="659" t="s">
        <v>529</v>
      </c>
      <c r="F68" s="661" t="s">
        <v>602</v>
      </c>
      <c r="G68" s="659" t="s">
        <v>123</v>
      </c>
      <c r="H68" s="663">
        <v>1</v>
      </c>
      <c r="I68" s="515" t="s">
        <v>530</v>
      </c>
      <c r="J68" s="514" t="s">
        <v>1019</v>
      </c>
      <c r="K68" s="518">
        <f>21280837691.9+5073987104.34+2489164923</f>
        <v>28843989719.240002</v>
      </c>
      <c r="L68" s="519">
        <v>1</v>
      </c>
      <c r="M68" s="657" t="s">
        <v>46</v>
      </c>
      <c r="N68" s="657" t="s">
        <v>68</v>
      </c>
      <c r="O68" s="657" t="s">
        <v>21</v>
      </c>
      <c r="P68" s="657" t="s">
        <v>36</v>
      </c>
      <c r="Q68" s="657" t="s">
        <v>211</v>
      </c>
      <c r="R68" s="657" t="s">
        <v>674</v>
      </c>
      <c r="S68" s="657" t="s">
        <v>98</v>
      </c>
      <c r="T68" s="519">
        <v>1</v>
      </c>
      <c r="U68" s="520" t="str">
        <f t="shared" si="16"/>
        <v>Ordenar el pago de los paquetes de recobros cuyo trámite de auditoría haya culminado, para el trámite de reconocimiento y pago por parte de ADRES (contrato en ejecución)</v>
      </c>
      <c r="V68" s="521">
        <f t="shared" si="16"/>
        <v>28843989719.240002</v>
      </c>
      <c r="W68" s="659" t="s">
        <v>114</v>
      </c>
      <c r="X68" s="517">
        <v>0.25</v>
      </c>
      <c r="Y68" s="529" t="str">
        <f>+U68</f>
        <v>Ordenar el pago de los paquetes de recobros cuyo trámite de auditoría haya culminado, para el trámite de reconocimiento y pago por parte de ADRES (contrato en ejecución)</v>
      </c>
      <c r="Z68" s="518">
        <f>+V68*X68</f>
        <v>7210997429.8100004</v>
      </c>
      <c r="AA68" s="525">
        <f>(4/4)*25%</f>
        <v>0.25</v>
      </c>
      <c r="AB68" s="518">
        <v>9454743813</v>
      </c>
      <c r="AC68" s="523">
        <f t="shared" si="18"/>
        <v>1</v>
      </c>
      <c r="AD68" s="523">
        <f t="shared" ref="AD68:AD69" si="33">+(AB68/Z68)</f>
        <v>1.3111561756927597</v>
      </c>
      <c r="AE68" s="523">
        <f t="shared" si="14"/>
        <v>0.25</v>
      </c>
      <c r="AF68" s="523">
        <f t="shared" si="0"/>
        <v>0.32778904392318992</v>
      </c>
      <c r="AG68" s="528"/>
      <c r="AH68" s="517">
        <v>0.25</v>
      </c>
      <c r="AI68" s="529" t="str">
        <f>+U68</f>
        <v>Ordenar el pago de los paquetes de recobros cuyo trámite de auditoría haya culminado, para el trámite de reconocimiento y pago por parte de ADRES (contrato en ejecución)</v>
      </c>
      <c r="AJ68" s="518">
        <v>8372291230.75</v>
      </c>
      <c r="AK68" s="524"/>
      <c r="AL68" s="524"/>
      <c r="AM68" s="523">
        <f t="shared" si="20"/>
        <v>0</v>
      </c>
      <c r="AN68" s="523">
        <f t="shared" si="1"/>
        <v>0</v>
      </c>
      <c r="AO68" s="523">
        <f t="shared" si="2"/>
        <v>0.25</v>
      </c>
      <c r="AP68" s="523">
        <f t="shared" si="3"/>
        <v>0.32778904392318992</v>
      </c>
      <c r="AQ68" s="523"/>
      <c r="AR68" s="517">
        <v>0.25</v>
      </c>
      <c r="AS68" s="529" t="str">
        <f>+U68</f>
        <v>Ordenar el pago de los paquetes de recobros cuyo trámite de auditoría haya culminado, para el trámite de reconocimiento y pago por parte de ADRES (contrato en ejecución)</v>
      </c>
      <c r="AT68" s="518">
        <v>8372291230.75</v>
      </c>
      <c r="AU68" s="524"/>
      <c r="AV68" s="524"/>
      <c r="AW68" s="523">
        <f t="shared" si="21"/>
        <v>0</v>
      </c>
      <c r="AX68" s="523">
        <f t="shared" si="22"/>
        <v>0</v>
      </c>
      <c r="AY68" s="523">
        <f t="shared" si="23"/>
        <v>0.25</v>
      </c>
      <c r="AZ68" s="523">
        <f t="shared" si="24"/>
        <v>0.32778904392318992</v>
      </c>
      <c r="BA68" s="523"/>
      <c r="BB68" s="517">
        <v>0.25</v>
      </c>
      <c r="BC68" s="529" t="str">
        <f>+U68</f>
        <v>Ordenar el pago de los paquetes de recobros cuyo trámite de auditoría haya culminado, para el trámite de reconocimiento y pago por parte de ADRES (contrato en ejecución)</v>
      </c>
      <c r="BD68" s="518">
        <v>8372291230.75</v>
      </c>
      <c r="BE68" s="524"/>
      <c r="BF68" s="524"/>
      <c r="BG68" s="517">
        <f t="shared" si="25"/>
        <v>0</v>
      </c>
      <c r="BH68" s="517">
        <f t="shared" si="26"/>
        <v>0</v>
      </c>
      <c r="BI68" s="517">
        <f t="shared" si="27"/>
        <v>0.25</v>
      </c>
      <c r="BJ68" s="517">
        <f t="shared" si="28"/>
        <v>0.32778904392318992</v>
      </c>
      <c r="BK68" s="517"/>
      <c r="BL68" s="580">
        <f t="shared" si="6"/>
        <v>1</v>
      </c>
      <c r="BM68" s="580">
        <f t="shared" si="7"/>
        <v>1.3111561756927597</v>
      </c>
      <c r="BN68" s="580">
        <f t="shared" si="8"/>
        <v>0</v>
      </c>
      <c r="BO68" s="580">
        <f t="shared" si="9"/>
        <v>0</v>
      </c>
      <c r="BP68" s="580">
        <f t="shared" si="29"/>
        <v>0</v>
      </c>
      <c r="BQ68" s="580">
        <f t="shared" si="30"/>
        <v>0</v>
      </c>
      <c r="BR68" s="580">
        <f t="shared" si="10"/>
        <v>0</v>
      </c>
      <c r="BS68" s="580">
        <f t="shared" si="11"/>
        <v>0</v>
      </c>
      <c r="BT68" s="525">
        <f t="shared" si="15"/>
        <v>0.58333333333333337</v>
      </c>
      <c r="BU68" s="526" t="str">
        <f t="shared" si="31"/>
        <v>Ordenar el pago de los paquetes de recobros cuyo trámite de auditoría haya culminado, para el trámite de reconocimiento y pago por parte de ADRES (contrato en ejecución)</v>
      </c>
      <c r="BV68" s="527">
        <f t="shared" si="13"/>
        <v>18374052404.143333</v>
      </c>
      <c r="BW68" s="524"/>
      <c r="BX68" s="524"/>
      <c r="BY68" s="524"/>
      <c r="BZ68" s="524"/>
      <c r="CA68" s="524"/>
      <c r="CB68" s="524"/>
      <c r="CC68" s="524"/>
    </row>
    <row r="69" spans="1:81" s="457" customFormat="1" ht="76.5" x14ac:dyDescent="0.25">
      <c r="A69" s="656"/>
      <c r="B69" s="658"/>
      <c r="C69" s="660"/>
      <c r="D69" s="662"/>
      <c r="E69" s="660"/>
      <c r="F69" s="662"/>
      <c r="G69" s="660"/>
      <c r="H69" s="664"/>
      <c r="I69" s="515" t="s">
        <v>940</v>
      </c>
      <c r="J69" s="514" t="s">
        <v>1020</v>
      </c>
      <c r="K69" s="518">
        <f>33371192463-2489164923</f>
        <v>30882027540</v>
      </c>
      <c r="L69" s="519">
        <v>1</v>
      </c>
      <c r="M69" s="658"/>
      <c r="N69" s="658"/>
      <c r="O69" s="658"/>
      <c r="P69" s="658"/>
      <c r="Q69" s="658"/>
      <c r="R69" s="658"/>
      <c r="S69" s="658"/>
      <c r="T69" s="519">
        <v>1</v>
      </c>
      <c r="U69" s="520" t="str">
        <f>+J69</f>
        <v>Ordenar el pago de los paquetes de recobros cuyo trámite de auditoría haya culminado, para el trámite de reconocimiento y pago por parte de ADRES (contrato de auditoria a adjudicar)</v>
      </c>
      <c r="V69" s="521">
        <f t="shared" si="16"/>
        <v>30882027540</v>
      </c>
      <c r="W69" s="660"/>
      <c r="X69" s="517">
        <v>0</v>
      </c>
      <c r="Y69" s="529" t="str">
        <f>+U69</f>
        <v>Ordenar el pago de los paquetes de recobros cuyo trámite de auditoría haya culminado, para el trámite de reconocimiento y pago por parte de ADRES (contrato de auditoria a adjudicar)</v>
      </c>
      <c r="Z69" s="518">
        <v>0</v>
      </c>
      <c r="AA69" s="525">
        <v>0</v>
      </c>
      <c r="AB69" s="518">
        <v>0</v>
      </c>
      <c r="AC69" s="523" t="e">
        <f t="shared" si="18"/>
        <v>#DIV/0!</v>
      </c>
      <c r="AD69" s="523" t="e">
        <f t="shared" si="33"/>
        <v>#DIV/0!</v>
      </c>
      <c r="AE69" s="523">
        <f t="shared" si="14"/>
        <v>0</v>
      </c>
      <c r="AF69" s="523">
        <f t="shared" si="0"/>
        <v>0</v>
      </c>
      <c r="AG69" s="528"/>
      <c r="AH69" s="517">
        <v>0</v>
      </c>
      <c r="AI69" s="529" t="str">
        <f>+U69</f>
        <v>Ordenar el pago de los paquetes de recobros cuyo trámite de auditoría haya culminado, para el trámite de reconocimiento y pago por parte de ADRES (contrato de auditoria a adjudicar)</v>
      </c>
      <c r="AJ69" s="518">
        <v>0</v>
      </c>
      <c r="AK69" s="524"/>
      <c r="AL69" s="524"/>
      <c r="AM69" s="523" t="e">
        <f t="shared" si="20"/>
        <v>#DIV/0!</v>
      </c>
      <c r="AN69" s="523" t="e">
        <f t="shared" si="1"/>
        <v>#DIV/0!</v>
      </c>
      <c r="AO69" s="523">
        <f t="shared" si="2"/>
        <v>0</v>
      </c>
      <c r="AP69" s="523">
        <f t="shared" si="3"/>
        <v>0</v>
      </c>
      <c r="AQ69" s="523"/>
      <c r="AR69" s="517">
        <v>0</v>
      </c>
      <c r="AS69" s="529" t="str">
        <f>+U69</f>
        <v>Ordenar el pago de los paquetes de recobros cuyo trámite de auditoría haya culminado, para el trámite de reconocimiento y pago por parte de ADRES (contrato de auditoria a adjudicar)</v>
      </c>
      <c r="AT69" s="518">
        <v>0</v>
      </c>
      <c r="AU69" s="524"/>
      <c r="AV69" s="524"/>
      <c r="AW69" s="523" t="e">
        <f t="shared" si="21"/>
        <v>#DIV/0!</v>
      </c>
      <c r="AX69" s="523" t="e">
        <f t="shared" si="22"/>
        <v>#DIV/0!</v>
      </c>
      <c r="AY69" s="523">
        <f t="shared" si="23"/>
        <v>0</v>
      </c>
      <c r="AZ69" s="523">
        <f t="shared" si="24"/>
        <v>0</v>
      </c>
      <c r="BA69" s="523"/>
      <c r="BB69" s="517">
        <v>1</v>
      </c>
      <c r="BC69" s="529" t="str">
        <f>+U69</f>
        <v>Ordenar el pago de los paquetes de recobros cuyo trámite de auditoría haya culminado, para el trámite de reconocimiento y pago por parte de ADRES (contrato de auditoria a adjudicar)</v>
      </c>
      <c r="BD69" s="518">
        <f>+V69</f>
        <v>30882027540</v>
      </c>
      <c r="BE69" s="524"/>
      <c r="BF69" s="524"/>
      <c r="BG69" s="517">
        <f t="shared" si="25"/>
        <v>0</v>
      </c>
      <c r="BH69" s="517">
        <f t="shared" si="26"/>
        <v>0</v>
      </c>
      <c r="BI69" s="517">
        <f t="shared" si="27"/>
        <v>0</v>
      </c>
      <c r="BJ69" s="517">
        <f t="shared" si="28"/>
        <v>0</v>
      </c>
      <c r="BK69" s="517"/>
      <c r="BL69" s="580" t="str">
        <f t="shared" si="6"/>
        <v>No Prog ni Ejec</v>
      </c>
      <c r="BM69" s="580" t="str">
        <f t="shared" si="7"/>
        <v>No Prog ni Ejec</v>
      </c>
      <c r="BN69" s="580" t="str">
        <f t="shared" si="8"/>
        <v>No Prog ni Ejec</v>
      </c>
      <c r="BO69" s="580" t="str">
        <f t="shared" si="9"/>
        <v>No Prog ni Ejec</v>
      </c>
      <c r="BP69" s="580" t="str">
        <f t="shared" si="29"/>
        <v>No Prog ni Ejec</v>
      </c>
      <c r="BQ69" s="580" t="str">
        <f t="shared" si="30"/>
        <v>No Prog ni Ejec</v>
      </c>
      <c r="BR69" s="580">
        <f t="shared" si="10"/>
        <v>0</v>
      </c>
      <c r="BS69" s="580">
        <f t="shared" si="11"/>
        <v>0</v>
      </c>
      <c r="BT69" s="525">
        <f t="shared" si="15"/>
        <v>0</v>
      </c>
      <c r="BU69" s="526" t="str">
        <f t="shared" si="31"/>
        <v>Ordenar el pago de los paquetes de recobros cuyo trámite de auditoría haya culminado, para el trámite de reconocimiento y pago por parte de ADRES (contrato de auditoria a adjudicar)</v>
      </c>
      <c r="BV69" s="527">
        <f t="shared" si="13"/>
        <v>0</v>
      </c>
      <c r="BW69" s="524"/>
      <c r="BX69" s="524"/>
      <c r="BY69" s="524"/>
      <c r="BZ69" s="524"/>
      <c r="CA69" s="524"/>
      <c r="CB69" s="524"/>
      <c r="CC69" s="524"/>
    </row>
    <row r="70" spans="1:81" s="457" customFormat="1" ht="63.75" x14ac:dyDescent="0.25">
      <c r="A70" s="513">
        <v>11500</v>
      </c>
      <c r="B70" s="514" t="s">
        <v>28</v>
      </c>
      <c r="C70" s="515" t="s">
        <v>263</v>
      </c>
      <c r="D70" s="514" t="s">
        <v>144</v>
      </c>
      <c r="E70" s="515" t="s">
        <v>531</v>
      </c>
      <c r="F70" s="514" t="s">
        <v>604</v>
      </c>
      <c r="G70" s="516" t="s">
        <v>124</v>
      </c>
      <c r="H70" s="558">
        <v>12</v>
      </c>
      <c r="I70" s="515" t="s">
        <v>532</v>
      </c>
      <c r="J70" s="514" t="s">
        <v>606</v>
      </c>
      <c r="K70" s="518">
        <v>0</v>
      </c>
      <c r="L70" s="519">
        <v>1</v>
      </c>
      <c r="M70" s="514" t="s">
        <v>46</v>
      </c>
      <c r="N70" s="514" t="s">
        <v>68</v>
      </c>
      <c r="O70" s="514" t="s">
        <v>21</v>
      </c>
      <c r="P70" s="514" t="s">
        <v>36</v>
      </c>
      <c r="Q70" s="514" t="s">
        <v>211</v>
      </c>
      <c r="R70" s="514" t="s">
        <v>675</v>
      </c>
      <c r="S70" s="514" t="s">
        <v>98</v>
      </c>
      <c r="T70" s="555">
        <v>12</v>
      </c>
      <c r="U70" s="520" t="str">
        <f t="shared" si="16"/>
        <v>Publicación del Giro Directo del giro previo</v>
      </c>
      <c r="V70" s="521">
        <f t="shared" si="17"/>
        <v>0</v>
      </c>
      <c r="W70" s="522" t="s">
        <v>117</v>
      </c>
      <c r="X70" s="547">
        <v>3</v>
      </c>
      <c r="Y70" s="522" t="s">
        <v>606</v>
      </c>
      <c r="Z70" s="518">
        <v>0</v>
      </c>
      <c r="AA70" s="524">
        <v>1</v>
      </c>
      <c r="AB70" s="527">
        <v>0</v>
      </c>
      <c r="AC70" s="523">
        <f t="shared" si="18"/>
        <v>0.33333333333333331</v>
      </c>
      <c r="AD70" s="523" t="e">
        <f t="shared" si="19"/>
        <v>#DIV/0!</v>
      </c>
      <c r="AE70" s="523">
        <f t="shared" si="14"/>
        <v>8.3333333333333329E-2</v>
      </c>
      <c r="AF70" s="523" t="e">
        <f t="shared" si="0"/>
        <v>#DIV/0!</v>
      </c>
      <c r="AG70" s="523"/>
      <c r="AH70" s="547">
        <v>3</v>
      </c>
      <c r="AI70" s="522" t="s">
        <v>606</v>
      </c>
      <c r="AJ70" s="518">
        <v>0</v>
      </c>
      <c r="AK70" s="524"/>
      <c r="AL70" s="524"/>
      <c r="AM70" s="523">
        <f t="shared" si="20"/>
        <v>0</v>
      </c>
      <c r="AN70" s="523" t="e">
        <f t="shared" si="1"/>
        <v>#DIV/0!</v>
      </c>
      <c r="AO70" s="523">
        <f t="shared" si="2"/>
        <v>8.3333333333333329E-2</v>
      </c>
      <c r="AP70" s="523" t="e">
        <f t="shared" si="3"/>
        <v>#DIV/0!</v>
      </c>
      <c r="AQ70" s="523"/>
      <c r="AR70" s="547">
        <v>3</v>
      </c>
      <c r="AS70" s="522" t="s">
        <v>606</v>
      </c>
      <c r="AT70" s="518">
        <v>0</v>
      </c>
      <c r="AU70" s="524"/>
      <c r="AV70" s="524"/>
      <c r="AW70" s="523">
        <f t="shared" si="21"/>
        <v>0</v>
      </c>
      <c r="AX70" s="523" t="e">
        <f t="shared" si="22"/>
        <v>#DIV/0!</v>
      </c>
      <c r="AY70" s="523">
        <f t="shared" si="23"/>
        <v>8.3333333333333329E-2</v>
      </c>
      <c r="AZ70" s="523" t="e">
        <f t="shared" si="24"/>
        <v>#DIV/0!</v>
      </c>
      <c r="BA70" s="523"/>
      <c r="BB70" s="547">
        <v>3</v>
      </c>
      <c r="BC70" s="522" t="s">
        <v>606</v>
      </c>
      <c r="BD70" s="518">
        <v>0</v>
      </c>
      <c r="BE70" s="524"/>
      <c r="BF70" s="524"/>
      <c r="BG70" s="517">
        <f t="shared" si="25"/>
        <v>0</v>
      </c>
      <c r="BH70" s="517" t="e">
        <f t="shared" si="26"/>
        <v>#DIV/0!</v>
      </c>
      <c r="BI70" s="517">
        <f t="shared" si="27"/>
        <v>8.3333333333333329E-2</v>
      </c>
      <c r="BJ70" s="517" t="e">
        <f t="shared" si="28"/>
        <v>#DIV/0!</v>
      </c>
      <c r="BK70" s="517"/>
      <c r="BL70" s="580">
        <f t="shared" si="6"/>
        <v>0.33333333333333331</v>
      </c>
      <c r="BM70" s="580" t="str">
        <f t="shared" si="7"/>
        <v>No Prog ni Ejec</v>
      </c>
      <c r="BN70" s="580">
        <f t="shared" si="8"/>
        <v>0</v>
      </c>
      <c r="BO70" s="580" t="str">
        <f t="shared" si="9"/>
        <v>No Prog ni Ejec</v>
      </c>
      <c r="BP70" s="580">
        <f t="shared" si="29"/>
        <v>0</v>
      </c>
      <c r="BQ70" s="580" t="str">
        <f t="shared" si="30"/>
        <v>No Prog ni Ejec</v>
      </c>
      <c r="BR70" s="580">
        <f t="shared" si="10"/>
        <v>0</v>
      </c>
      <c r="BS70" s="580" t="str">
        <f t="shared" si="11"/>
        <v>No Prog ni Ejec</v>
      </c>
      <c r="BT70" s="553">
        <f t="shared" si="15"/>
        <v>7</v>
      </c>
      <c r="BU70" s="526" t="str">
        <f t="shared" si="31"/>
        <v>Publicación del Giro Directo del giro previo</v>
      </c>
      <c r="BV70" s="527">
        <f t="shared" si="13"/>
        <v>0</v>
      </c>
      <c r="BW70" s="524"/>
      <c r="BX70" s="524"/>
      <c r="BY70" s="524"/>
      <c r="BZ70" s="524"/>
      <c r="CA70" s="524"/>
      <c r="CB70" s="524"/>
      <c r="CC70" s="524"/>
    </row>
    <row r="71" spans="1:81" s="457" customFormat="1" ht="63.75" x14ac:dyDescent="0.25">
      <c r="A71" s="513">
        <v>11500</v>
      </c>
      <c r="B71" s="514" t="s">
        <v>28</v>
      </c>
      <c r="C71" s="515" t="s">
        <v>263</v>
      </c>
      <c r="D71" s="514" t="s">
        <v>144</v>
      </c>
      <c r="E71" s="515" t="s">
        <v>533</v>
      </c>
      <c r="F71" s="514" t="s">
        <v>607</v>
      </c>
      <c r="G71" s="516" t="s">
        <v>123</v>
      </c>
      <c r="H71" s="517">
        <v>1</v>
      </c>
      <c r="I71" s="515" t="s">
        <v>534</v>
      </c>
      <c r="J71" s="514" t="s">
        <v>758</v>
      </c>
      <c r="K71" s="518">
        <v>0</v>
      </c>
      <c r="L71" s="519">
        <v>1</v>
      </c>
      <c r="M71" s="514" t="s">
        <v>46</v>
      </c>
      <c r="N71" s="514" t="s">
        <v>68</v>
      </c>
      <c r="O71" s="514" t="s">
        <v>21</v>
      </c>
      <c r="P71" s="514" t="s">
        <v>36</v>
      </c>
      <c r="Q71" s="514" t="s">
        <v>211</v>
      </c>
      <c r="R71" s="514" t="s">
        <v>622</v>
      </c>
      <c r="S71" s="514" t="s">
        <v>98</v>
      </c>
      <c r="T71" s="519">
        <v>1</v>
      </c>
      <c r="U71" s="520" t="str">
        <f t="shared" si="16"/>
        <v>Realizar informes de supervisión en el período</v>
      </c>
      <c r="V71" s="521">
        <f t="shared" si="17"/>
        <v>0</v>
      </c>
      <c r="W71" s="522" t="s">
        <v>117</v>
      </c>
      <c r="X71" s="517">
        <v>0.25</v>
      </c>
      <c r="Y71" s="522" t="s">
        <v>758</v>
      </c>
      <c r="Z71" s="518">
        <v>0</v>
      </c>
      <c r="AA71" s="525">
        <f>(1/1)*25%</f>
        <v>0.25</v>
      </c>
      <c r="AB71" s="527">
        <v>0</v>
      </c>
      <c r="AC71" s="523">
        <f t="shared" si="18"/>
        <v>1</v>
      </c>
      <c r="AD71" s="523" t="e">
        <f t="shared" si="19"/>
        <v>#DIV/0!</v>
      </c>
      <c r="AE71" s="523">
        <f t="shared" si="14"/>
        <v>0.25</v>
      </c>
      <c r="AF71" s="523" t="e">
        <f t="shared" si="0"/>
        <v>#DIV/0!</v>
      </c>
      <c r="AG71" s="523"/>
      <c r="AH71" s="517">
        <v>0.25</v>
      </c>
      <c r="AI71" s="522" t="s">
        <v>758</v>
      </c>
      <c r="AJ71" s="518">
        <v>0</v>
      </c>
      <c r="AK71" s="524"/>
      <c r="AL71" s="524"/>
      <c r="AM71" s="523">
        <f t="shared" si="20"/>
        <v>0</v>
      </c>
      <c r="AN71" s="523" t="e">
        <f t="shared" si="1"/>
        <v>#DIV/0!</v>
      </c>
      <c r="AO71" s="523">
        <f t="shared" si="2"/>
        <v>0.25</v>
      </c>
      <c r="AP71" s="523" t="e">
        <f t="shared" si="3"/>
        <v>#DIV/0!</v>
      </c>
      <c r="AQ71" s="523"/>
      <c r="AR71" s="517">
        <v>0.25</v>
      </c>
      <c r="AS71" s="522" t="s">
        <v>758</v>
      </c>
      <c r="AT71" s="518">
        <v>0</v>
      </c>
      <c r="AU71" s="524"/>
      <c r="AV71" s="524"/>
      <c r="AW71" s="523">
        <f t="shared" si="21"/>
        <v>0</v>
      </c>
      <c r="AX71" s="523" t="e">
        <f t="shared" si="22"/>
        <v>#DIV/0!</v>
      </c>
      <c r="AY71" s="523">
        <f t="shared" si="23"/>
        <v>0.25</v>
      </c>
      <c r="AZ71" s="523" t="e">
        <f t="shared" si="24"/>
        <v>#DIV/0!</v>
      </c>
      <c r="BA71" s="523"/>
      <c r="BB71" s="517">
        <v>0.25</v>
      </c>
      <c r="BC71" s="522" t="s">
        <v>758</v>
      </c>
      <c r="BD71" s="518">
        <v>0</v>
      </c>
      <c r="BE71" s="524"/>
      <c r="BF71" s="524"/>
      <c r="BG71" s="517">
        <f t="shared" si="25"/>
        <v>0</v>
      </c>
      <c r="BH71" s="517" t="e">
        <f t="shared" si="26"/>
        <v>#DIV/0!</v>
      </c>
      <c r="BI71" s="517">
        <f t="shared" si="27"/>
        <v>0.25</v>
      </c>
      <c r="BJ71" s="517" t="e">
        <f t="shared" si="28"/>
        <v>#DIV/0!</v>
      </c>
      <c r="BK71" s="517"/>
      <c r="BL71" s="580">
        <f t="shared" si="6"/>
        <v>1</v>
      </c>
      <c r="BM71" s="580" t="str">
        <f t="shared" si="7"/>
        <v>No Prog ni Ejec</v>
      </c>
      <c r="BN71" s="580">
        <f t="shared" si="8"/>
        <v>0</v>
      </c>
      <c r="BO71" s="580" t="str">
        <f t="shared" si="9"/>
        <v>No Prog ni Ejec</v>
      </c>
      <c r="BP71" s="580">
        <f t="shared" si="29"/>
        <v>0</v>
      </c>
      <c r="BQ71" s="580" t="str">
        <f t="shared" si="30"/>
        <v>No Prog ni Ejec</v>
      </c>
      <c r="BR71" s="580">
        <f t="shared" si="10"/>
        <v>0</v>
      </c>
      <c r="BS71" s="580" t="str">
        <f t="shared" si="11"/>
        <v>No Prog ni Ejec</v>
      </c>
      <c r="BT71" s="525">
        <f t="shared" si="15"/>
        <v>0.58333333333333337</v>
      </c>
      <c r="BU71" s="526" t="str">
        <f t="shared" si="31"/>
        <v>Realizar informes de supervisión en el período</v>
      </c>
      <c r="BV71" s="527">
        <f t="shared" si="13"/>
        <v>0</v>
      </c>
      <c r="BW71" s="524"/>
      <c r="BX71" s="524"/>
      <c r="BY71" s="524"/>
      <c r="BZ71" s="524"/>
      <c r="CA71" s="524"/>
      <c r="CB71" s="524"/>
      <c r="CC71" s="524"/>
    </row>
    <row r="72" spans="1:81" s="457" customFormat="1" ht="76.5" x14ac:dyDescent="0.25">
      <c r="A72" s="513">
        <v>11500</v>
      </c>
      <c r="B72" s="514" t="s">
        <v>28</v>
      </c>
      <c r="C72" s="515" t="s">
        <v>263</v>
      </c>
      <c r="D72" s="514" t="s">
        <v>144</v>
      </c>
      <c r="E72" s="515" t="s">
        <v>535</v>
      </c>
      <c r="F72" s="514" t="s">
        <v>609</v>
      </c>
      <c r="G72" s="516" t="s">
        <v>384</v>
      </c>
      <c r="H72" s="558">
        <v>4</v>
      </c>
      <c r="I72" s="515" t="s">
        <v>536</v>
      </c>
      <c r="J72" s="514" t="s">
        <v>610</v>
      </c>
      <c r="K72" s="518">
        <v>0</v>
      </c>
      <c r="L72" s="519">
        <v>1</v>
      </c>
      <c r="M72" s="514" t="s">
        <v>46</v>
      </c>
      <c r="N72" s="514" t="s">
        <v>68</v>
      </c>
      <c r="O72" s="514" t="s">
        <v>21</v>
      </c>
      <c r="P72" s="514" t="s">
        <v>36</v>
      </c>
      <c r="Q72" s="514" t="s">
        <v>211</v>
      </c>
      <c r="R72" s="514" t="s">
        <v>623</v>
      </c>
      <c r="S72" s="514" t="s">
        <v>98</v>
      </c>
      <c r="T72" s="555">
        <v>4</v>
      </c>
      <c r="U72" s="520" t="str">
        <f t="shared" si="16"/>
        <v xml:space="preserve">Realizar boletines con resultados del proceso de reconocimiento y pago de recobros por concepto de servicios y tecnologías no cubiertos por el plan de beneficios con cargo a la UPC </v>
      </c>
      <c r="V72" s="521">
        <f t="shared" si="17"/>
        <v>0</v>
      </c>
      <c r="W72" s="522" t="s">
        <v>117</v>
      </c>
      <c r="X72" s="547">
        <v>1</v>
      </c>
      <c r="Y72" s="522" t="s">
        <v>610</v>
      </c>
      <c r="Z72" s="518">
        <v>0</v>
      </c>
      <c r="AA72" s="524">
        <v>1</v>
      </c>
      <c r="AB72" s="527">
        <v>0</v>
      </c>
      <c r="AC72" s="523">
        <f t="shared" si="18"/>
        <v>1</v>
      </c>
      <c r="AD72" s="523" t="e">
        <f t="shared" si="19"/>
        <v>#DIV/0!</v>
      </c>
      <c r="AE72" s="523">
        <f t="shared" si="14"/>
        <v>0.25</v>
      </c>
      <c r="AF72" s="523" t="e">
        <f t="shared" si="0"/>
        <v>#DIV/0!</v>
      </c>
      <c r="AG72" s="523"/>
      <c r="AH72" s="547">
        <v>1</v>
      </c>
      <c r="AI72" s="522" t="s">
        <v>610</v>
      </c>
      <c r="AJ72" s="518">
        <v>0</v>
      </c>
      <c r="AK72" s="524"/>
      <c r="AL72" s="524"/>
      <c r="AM72" s="523">
        <f t="shared" si="20"/>
        <v>0</v>
      </c>
      <c r="AN72" s="523" t="e">
        <f t="shared" si="1"/>
        <v>#DIV/0!</v>
      </c>
      <c r="AO72" s="523">
        <f t="shared" si="2"/>
        <v>0.25</v>
      </c>
      <c r="AP72" s="523" t="e">
        <f t="shared" si="3"/>
        <v>#DIV/0!</v>
      </c>
      <c r="AQ72" s="523"/>
      <c r="AR72" s="547">
        <v>1</v>
      </c>
      <c r="AS72" s="522" t="s">
        <v>610</v>
      </c>
      <c r="AT72" s="518">
        <v>0</v>
      </c>
      <c r="AU72" s="524"/>
      <c r="AV72" s="524"/>
      <c r="AW72" s="523">
        <f t="shared" si="21"/>
        <v>0</v>
      </c>
      <c r="AX72" s="523" t="e">
        <f t="shared" si="22"/>
        <v>#DIV/0!</v>
      </c>
      <c r="AY72" s="523">
        <f t="shared" si="23"/>
        <v>0.25</v>
      </c>
      <c r="AZ72" s="523" t="e">
        <f t="shared" si="24"/>
        <v>#DIV/0!</v>
      </c>
      <c r="BA72" s="523"/>
      <c r="BB72" s="547">
        <v>1</v>
      </c>
      <c r="BC72" s="522" t="s">
        <v>610</v>
      </c>
      <c r="BD72" s="518">
        <v>0</v>
      </c>
      <c r="BE72" s="524"/>
      <c r="BF72" s="524"/>
      <c r="BG72" s="517">
        <f t="shared" si="25"/>
        <v>0</v>
      </c>
      <c r="BH72" s="517" t="e">
        <f t="shared" si="26"/>
        <v>#DIV/0!</v>
      </c>
      <c r="BI72" s="517">
        <f t="shared" si="27"/>
        <v>0.25</v>
      </c>
      <c r="BJ72" s="517" t="e">
        <f t="shared" si="28"/>
        <v>#DIV/0!</v>
      </c>
      <c r="BK72" s="517"/>
      <c r="BL72" s="580">
        <f t="shared" si="6"/>
        <v>1</v>
      </c>
      <c r="BM72" s="580" t="str">
        <f t="shared" si="7"/>
        <v>No Prog ni Ejec</v>
      </c>
      <c r="BN72" s="580">
        <f t="shared" si="8"/>
        <v>0</v>
      </c>
      <c r="BO72" s="580" t="str">
        <f t="shared" si="9"/>
        <v>No Prog ni Ejec</v>
      </c>
      <c r="BP72" s="580">
        <f t="shared" si="29"/>
        <v>0</v>
      </c>
      <c r="BQ72" s="580" t="str">
        <f t="shared" si="30"/>
        <v>No Prog ni Ejec</v>
      </c>
      <c r="BR72" s="580">
        <f t="shared" si="10"/>
        <v>0</v>
      </c>
      <c r="BS72" s="580" t="str">
        <f t="shared" si="11"/>
        <v>No Prog ni Ejec</v>
      </c>
      <c r="BT72" s="553">
        <f t="shared" si="15"/>
        <v>2.3333333333333335</v>
      </c>
      <c r="BU72" s="526" t="str">
        <f t="shared" si="31"/>
        <v xml:space="preserve">Realizar boletines con resultados del proceso de reconocimiento y pago de recobros por concepto de servicios y tecnologías no cubiertos por el plan de beneficios con cargo a la UPC </v>
      </c>
      <c r="BV72" s="527">
        <f t="shared" si="13"/>
        <v>0</v>
      </c>
      <c r="BW72" s="524"/>
      <c r="BX72" s="524"/>
      <c r="BY72" s="524"/>
      <c r="BZ72" s="524"/>
      <c r="CA72" s="524"/>
      <c r="CB72" s="524"/>
      <c r="CC72" s="524"/>
    </row>
    <row r="73" spans="1:81" s="457" customFormat="1" ht="63.75" x14ac:dyDescent="0.25">
      <c r="A73" s="513">
        <v>11500</v>
      </c>
      <c r="B73" s="514" t="s">
        <v>28</v>
      </c>
      <c r="C73" s="515" t="s">
        <v>611</v>
      </c>
      <c r="D73" s="514" t="s">
        <v>146</v>
      </c>
      <c r="E73" s="515" t="s">
        <v>537</v>
      </c>
      <c r="F73" s="514" t="s">
        <v>612</v>
      </c>
      <c r="G73" s="516" t="s">
        <v>123</v>
      </c>
      <c r="H73" s="517">
        <v>1</v>
      </c>
      <c r="I73" s="515" t="s">
        <v>538</v>
      </c>
      <c r="J73" s="514" t="s">
        <v>613</v>
      </c>
      <c r="K73" s="518">
        <v>244800000</v>
      </c>
      <c r="L73" s="517">
        <v>1</v>
      </c>
      <c r="M73" s="514" t="s">
        <v>46</v>
      </c>
      <c r="N73" s="514" t="s">
        <v>68</v>
      </c>
      <c r="O73" s="514" t="s">
        <v>21</v>
      </c>
      <c r="P73" s="514" t="s">
        <v>36</v>
      </c>
      <c r="Q73" s="514" t="s">
        <v>211</v>
      </c>
      <c r="R73" s="514" t="s">
        <v>759</v>
      </c>
      <c r="S73" s="514" t="s">
        <v>98</v>
      </c>
      <c r="T73" s="519">
        <v>1</v>
      </c>
      <c r="U73" s="520" t="str">
        <f t="shared" si="16"/>
        <v>Entregar apoyos técnicos a la OAJ en recobros y reclamaciones una vez son resueltos por la Dirección de Tecnología de la Información</v>
      </c>
      <c r="V73" s="521">
        <f t="shared" si="17"/>
        <v>244800000</v>
      </c>
      <c r="W73" s="522" t="s">
        <v>114</v>
      </c>
      <c r="X73" s="517">
        <v>0.25</v>
      </c>
      <c r="Y73" s="522" t="s">
        <v>613</v>
      </c>
      <c r="Z73" s="518">
        <f>+V73*X73</f>
        <v>61200000</v>
      </c>
      <c r="AA73" s="525">
        <f>(266/266)*25%</f>
        <v>0.25</v>
      </c>
      <c r="AB73" s="527">
        <v>12784000</v>
      </c>
      <c r="AC73" s="523">
        <f t="shared" si="18"/>
        <v>1</v>
      </c>
      <c r="AD73" s="523">
        <f t="shared" si="19"/>
        <v>0.2088888888888889</v>
      </c>
      <c r="AE73" s="523">
        <f t="shared" si="14"/>
        <v>0.25</v>
      </c>
      <c r="AF73" s="523">
        <f t="shared" si="0"/>
        <v>5.2222222222222225E-2</v>
      </c>
      <c r="AG73" s="523"/>
      <c r="AH73" s="517">
        <v>0.25</v>
      </c>
      <c r="AI73" s="522" t="s">
        <v>613</v>
      </c>
      <c r="AJ73" s="518">
        <v>61200000</v>
      </c>
      <c r="AK73" s="524"/>
      <c r="AL73" s="524"/>
      <c r="AM73" s="523">
        <f t="shared" si="20"/>
        <v>0</v>
      </c>
      <c r="AN73" s="523">
        <f t="shared" si="1"/>
        <v>0</v>
      </c>
      <c r="AO73" s="523">
        <f t="shared" si="2"/>
        <v>0.25</v>
      </c>
      <c r="AP73" s="523">
        <f t="shared" si="3"/>
        <v>5.2222222222222225E-2</v>
      </c>
      <c r="AQ73" s="523"/>
      <c r="AR73" s="517">
        <v>0.25</v>
      </c>
      <c r="AS73" s="522" t="s">
        <v>613</v>
      </c>
      <c r="AT73" s="518">
        <v>61200000</v>
      </c>
      <c r="AU73" s="524"/>
      <c r="AV73" s="524"/>
      <c r="AW73" s="523">
        <f t="shared" si="21"/>
        <v>0</v>
      </c>
      <c r="AX73" s="523">
        <f t="shared" si="22"/>
        <v>0</v>
      </c>
      <c r="AY73" s="523">
        <f t="shared" si="23"/>
        <v>0.25</v>
      </c>
      <c r="AZ73" s="523">
        <f t="shared" si="24"/>
        <v>5.2222222222222225E-2</v>
      </c>
      <c r="BA73" s="523"/>
      <c r="BB73" s="517">
        <v>0.25</v>
      </c>
      <c r="BC73" s="522" t="s">
        <v>613</v>
      </c>
      <c r="BD73" s="518">
        <v>61200000</v>
      </c>
      <c r="BE73" s="524"/>
      <c r="BF73" s="524"/>
      <c r="BG73" s="517">
        <f t="shared" si="25"/>
        <v>0</v>
      </c>
      <c r="BH73" s="517">
        <f t="shared" si="26"/>
        <v>0</v>
      </c>
      <c r="BI73" s="517">
        <f t="shared" si="27"/>
        <v>0.25</v>
      </c>
      <c r="BJ73" s="517">
        <f t="shared" si="28"/>
        <v>5.2222222222222225E-2</v>
      </c>
      <c r="BK73" s="517"/>
      <c r="BL73" s="580">
        <f t="shared" si="6"/>
        <v>1</v>
      </c>
      <c r="BM73" s="580">
        <f t="shared" si="7"/>
        <v>0.2088888888888889</v>
      </c>
      <c r="BN73" s="580">
        <f t="shared" si="8"/>
        <v>0</v>
      </c>
      <c r="BO73" s="580">
        <f t="shared" si="9"/>
        <v>0</v>
      </c>
      <c r="BP73" s="580">
        <f t="shared" si="29"/>
        <v>0</v>
      </c>
      <c r="BQ73" s="580">
        <f t="shared" si="30"/>
        <v>0</v>
      </c>
      <c r="BR73" s="580">
        <f t="shared" si="10"/>
        <v>0</v>
      </c>
      <c r="BS73" s="580">
        <f t="shared" si="11"/>
        <v>0</v>
      </c>
      <c r="BT73" s="525">
        <f t="shared" si="15"/>
        <v>0.58333333333333337</v>
      </c>
      <c r="BU73" s="526" t="str">
        <f t="shared" si="31"/>
        <v>Entregar apoyos técnicos a la OAJ en recobros y reclamaciones una vez son resueltos por la Dirección de Tecnología de la Información</v>
      </c>
      <c r="BV73" s="527">
        <f t="shared" si="13"/>
        <v>142800000</v>
      </c>
      <c r="BW73" s="524"/>
      <c r="BX73" s="524"/>
      <c r="BY73" s="524"/>
      <c r="BZ73" s="524"/>
      <c r="CA73" s="524"/>
      <c r="CB73" s="524"/>
      <c r="CC73" s="524"/>
    </row>
    <row r="74" spans="1:81" s="457" customFormat="1" ht="76.5" x14ac:dyDescent="0.25">
      <c r="A74" s="513">
        <v>11500</v>
      </c>
      <c r="B74" s="514" t="s">
        <v>28</v>
      </c>
      <c r="C74" s="515" t="s">
        <v>263</v>
      </c>
      <c r="D74" s="514" t="s">
        <v>144</v>
      </c>
      <c r="E74" s="515" t="s">
        <v>618</v>
      </c>
      <c r="F74" s="514" t="s">
        <v>614</v>
      </c>
      <c r="G74" s="516" t="s">
        <v>123</v>
      </c>
      <c r="H74" s="517">
        <v>1</v>
      </c>
      <c r="I74" s="515" t="s">
        <v>620</v>
      </c>
      <c r="J74" s="514" t="s">
        <v>615</v>
      </c>
      <c r="K74" s="518">
        <v>0</v>
      </c>
      <c r="L74" s="519">
        <v>1</v>
      </c>
      <c r="M74" s="514" t="s">
        <v>46</v>
      </c>
      <c r="N74" s="514" t="s">
        <v>68</v>
      </c>
      <c r="O74" s="514" t="s">
        <v>21</v>
      </c>
      <c r="P74" s="514" t="s">
        <v>36</v>
      </c>
      <c r="Q74" s="514" t="s">
        <v>211</v>
      </c>
      <c r="R74" s="514" t="s">
        <v>676</v>
      </c>
      <c r="S74" s="514" t="s">
        <v>98</v>
      </c>
      <c r="T74" s="519">
        <v>1</v>
      </c>
      <c r="U74" s="520" t="str">
        <f t="shared" si="16"/>
        <v>Pagar paquetes de reclamaciones de acuerdo con lo definido en la normativa vigente</v>
      </c>
      <c r="V74" s="521">
        <f>+K74</f>
        <v>0</v>
      </c>
      <c r="W74" s="522" t="s">
        <v>114</v>
      </c>
      <c r="X74" s="517">
        <v>0.25</v>
      </c>
      <c r="Y74" s="522" t="s">
        <v>615</v>
      </c>
      <c r="Z74" s="518">
        <v>0</v>
      </c>
      <c r="AA74" s="606">
        <f>(7/7)*25%</f>
        <v>0.25</v>
      </c>
      <c r="AB74" s="527">
        <v>0</v>
      </c>
      <c r="AC74" s="523">
        <f t="shared" si="18"/>
        <v>1</v>
      </c>
      <c r="AD74" s="523" t="e">
        <f t="shared" si="19"/>
        <v>#DIV/0!</v>
      </c>
      <c r="AE74" s="523">
        <f t="shared" si="14"/>
        <v>0.25</v>
      </c>
      <c r="AF74" s="523" t="e">
        <f t="shared" si="0"/>
        <v>#DIV/0!</v>
      </c>
      <c r="AG74" s="523"/>
      <c r="AH74" s="517">
        <v>0.25</v>
      </c>
      <c r="AI74" s="522" t="s">
        <v>615</v>
      </c>
      <c r="AJ74" s="518">
        <v>0</v>
      </c>
      <c r="AK74" s="524"/>
      <c r="AL74" s="524"/>
      <c r="AM74" s="523">
        <f t="shared" si="20"/>
        <v>0</v>
      </c>
      <c r="AN74" s="523" t="e">
        <f t="shared" si="1"/>
        <v>#DIV/0!</v>
      </c>
      <c r="AO74" s="523">
        <f t="shared" si="2"/>
        <v>0.25</v>
      </c>
      <c r="AP74" s="523" t="e">
        <f t="shared" si="3"/>
        <v>#DIV/0!</v>
      </c>
      <c r="AQ74" s="523"/>
      <c r="AR74" s="517">
        <v>0.25</v>
      </c>
      <c r="AS74" s="522" t="s">
        <v>615</v>
      </c>
      <c r="AT74" s="518">
        <v>0</v>
      </c>
      <c r="AU74" s="524"/>
      <c r="AV74" s="524"/>
      <c r="AW74" s="523">
        <f t="shared" si="21"/>
        <v>0</v>
      </c>
      <c r="AX74" s="523" t="e">
        <f t="shared" si="22"/>
        <v>#DIV/0!</v>
      </c>
      <c r="AY74" s="523">
        <f t="shared" si="23"/>
        <v>0.25</v>
      </c>
      <c r="AZ74" s="523" t="e">
        <f t="shared" si="24"/>
        <v>#DIV/0!</v>
      </c>
      <c r="BA74" s="523"/>
      <c r="BB74" s="517">
        <v>0.25</v>
      </c>
      <c r="BC74" s="522" t="s">
        <v>615</v>
      </c>
      <c r="BD74" s="518">
        <v>0</v>
      </c>
      <c r="BE74" s="524"/>
      <c r="BF74" s="524"/>
      <c r="BG74" s="517">
        <f t="shared" si="25"/>
        <v>0</v>
      </c>
      <c r="BH74" s="517" t="e">
        <f t="shared" si="26"/>
        <v>#DIV/0!</v>
      </c>
      <c r="BI74" s="517">
        <f t="shared" si="27"/>
        <v>0.25</v>
      </c>
      <c r="BJ74" s="517" t="e">
        <f t="shared" si="28"/>
        <v>#DIV/0!</v>
      </c>
      <c r="BK74" s="517"/>
      <c r="BL74" s="580">
        <f t="shared" si="6"/>
        <v>1</v>
      </c>
      <c r="BM74" s="580" t="str">
        <f t="shared" si="7"/>
        <v>No Prog ni Ejec</v>
      </c>
      <c r="BN74" s="580">
        <f t="shared" si="8"/>
        <v>0</v>
      </c>
      <c r="BO74" s="580" t="str">
        <f t="shared" si="9"/>
        <v>No Prog ni Ejec</v>
      </c>
      <c r="BP74" s="580">
        <f t="shared" si="29"/>
        <v>0</v>
      </c>
      <c r="BQ74" s="580" t="str">
        <f t="shared" si="30"/>
        <v>No Prog ni Ejec</v>
      </c>
      <c r="BR74" s="580">
        <f t="shared" si="10"/>
        <v>0</v>
      </c>
      <c r="BS74" s="580" t="str">
        <f t="shared" si="11"/>
        <v>No Prog ni Ejec</v>
      </c>
      <c r="BT74" s="525">
        <f t="shared" si="15"/>
        <v>0.58333333333333337</v>
      </c>
      <c r="BU74" s="526" t="str">
        <f t="shared" si="31"/>
        <v>Pagar paquetes de reclamaciones de acuerdo con lo definido en la normativa vigente</v>
      </c>
      <c r="BV74" s="527">
        <f t="shared" ref="BV74:BV138" si="34">+(Z74+AJ74+(AT74/3))</f>
        <v>0</v>
      </c>
      <c r="BW74" s="524"/>
      <c r="BX74" s="524"/>
      <c r="BY74" s="524"/>
      <c r="BZ74" s="524"/>
      <c r="CA74" s="524"/>
      <c r="CB74" s="524"/>
      <c r="CC74" s="524"/>
    </row>
    <row r="75" spans="1:81" s="457" customFormat="1" ht="63.75" x14ac:dyDescent="0.25">
      <c r="A75" s="513">
        <v>11500</v>
      </c>
      <c r="B75" s="514" t="s">
        <v>28</v>
      </c>
      <c r="C75" s="515" t="s">
        <v>263</v>
      </c>
      <c r="D75" s="514" t="s">
        <v>144</v>
      </c>
      <c r="E75" s="515" t="s">
        <v>619</v>
      </c>
      <c r="F75" s="514" t="s">
        <v>616</v>
      </c>
      <c r="G75" s="516" t="s">
        <v>384</v>
      </c>
      <c r="H75" s="558">
        <v>4</v>
      </c>
      <c r="I75" s="515" t="s">
        <v>621</v>
      </c>
      <c r="J75" s="514" t="s">
        <v>617</v>
      </c>
      <c r="K75" s="518">
        <v>0</v>
      </c>
      <c r="L75" s="519">
        <v>1</v>
      </c>
      <c r="M75" s="514" t="s">
        <v>46</v>
      </c>
      <c r="N75" s="514" t="s">
        <v>68</v>
      </c>
      <c r="O75" s="514" t="s">
        <v>21</v>
      </c>
      <c r="P75" s="514" t="s">
        <v>36</v>
      </c>
      <c r="Q75" s="514" t="s">
        <v>211</v>
      </c>
      <c r="R75" s="514" t="s">
        <v>623</v>
      </c>
      <c r="S75" s="514" t="s">
        <v>98</v>
      </c>
      <c r="T75" s="555">
        <v>4</v>
      </c>
      <c r="U75" s="520" t="str">
        <f t="shared" si="16"/>
        <v>Generar boletines con resultados del proceso reclamaciones</v>
      </c>
      <c r="V75" s="521">
        <f t="shared" si="17"/>
        <v>0</v>
      </c>
      <c r="W75" s="522" t="s">
        <v>117</v>
      </c>
      <c r="X75" s="547">
        <v>1</v>
      </c>
      <c r="Y75" s="522" t="s">
        <v>617</v>
      </c>
      <c r="Z75" s="518">
        <v>0</v>
      </c>
      <c r="AA75" s="524">
        <v>1</v>
      </c>
      <c r="AB75" s="527">
        <v>0</v>
      </c>
      <c r="AC75" s="523">
        <f t="shared" si="18"/>
        <v>1</v>
      </c>
      <c r="AD75" s="523" t="e">
        <f t="shared" si="19"/>
        <v>#DIV/0!</v>
      </c>
      <c r="AE75" s="523">
        <f t="shared" si="14"/>
        <v>0.25</v>
      </c>
      <c r="AF75" s="523" t="e">
        <f t="shared" si="0"/>
        <v>#DIV/0!</v>
      </c>
      <c r="AG75" s="523"/>
      <c r="AH75" s="547">
        <v>1</v>
      </c>
      <c r="AI75" s="522" t="s">
        <v>617</v>
      </c>
      <c r="AJ75" s="518">
        <v>0</v>
      </c>
      <c r="AK75" s="524"/>
      <c r="AL75" s="524"/>
      <c r="AM75" s="523">
        <f t="shared" si="20"/>
        <v>0</v>
      </c>
      <c r="AN75" s="523" t="e">
        <f t="shared" si="1"/>
        <v>#DIV/0!</v>
      </c>
      <c r="AO75" s="523">
        <f t="shared" si="2"/>
        <v>0.25</v>
      </c>
      <c r="AP75" s="523" t="e">
        <f t="shared" si="3"/>
        <v>#DIV/0!</v>
      </c>
      <c r="AQ75" s="523"/>
      <c r="AR75" s="547">
        <v>1</v>
      </c>
      <c r="AS75" s="522" t="s">
        <v>617</v>
      </c>
      <c r="AT75" s="518">
        <v>0</v>
      </c>
      <c r="AU75" s="524"/>
      <c r="AV75" s="524"/>
      <c r="AW75" s="523">
        <f t="shared" si="21"/>
        <v>0</v>
      </c>
      <c r="AX75" s="523" t="e">
        <f t="shared" si="22"/>
        <v>#DIV/0!</v>
      </c>
      <c r="AY75" s="523">
        <f t="shared" si="23"/>
        <v>0.25</v>
      </c>
      <c r="AZ75" s="523" t="e">
        <f t="shared" si="24"/>
        <v>#DIV/0!</v>
      </c>
      <c r="BA75" s="523"/>
      <c r="BB75" s="547">
        <v>1</v>
      </c>
      <c r="BC75" s="522" t="s">
        <v>617</v>
      </c>
      <c r="BD75" s="518">
        <v>0</v>
      </c>
      <c r="BE75" s="524"/>
      <c r="BF75" s="524"/>
      <c r="BG75" s="517">
        <f t="shared" si="25"/>
        <v>0</v>
      </c>
      <c r="BH75" s="517" t="e">
        <f t="shared" si="26"/>
        <v>#DIV/0!</v>
      </c>
      <c r="BI75" s="517">
        <f t="shared" si="27"/>
        <v>0.25</v>
      </c>
      <c r="BJ75" s="517" t="e">
        <f t="shared" si="28"/>
        <v>#DIV/0!</v>
      </c>
      <c r="BK75" s="517"/>
      <c r="BL75" s="580">
        <f t="shared" si="6"/>
        <v>1</v>
      </c>
      <c r="BM75" s="580" t="str">
        <f t="shared" si="7"/>
        <v>No Prog ni Ejec</v>
      </c>
      <c r="BN75" s="580">
        <f t="shared" si="8"/>
        <v>0</v>
      </c>
      <c r="BO75" s="580" t="str">
        <f t="shared" si="9"/>
        <v>No Prog ni Ejec</v>
      </c>
      <c r="BP75" s="580">
        <f t="shared" si="29"/>
        <v>0</v>
      </c>
      <c r="BQ75" s="580" t="str">
        <f t="shared" si="30"/>
        <v>No Prog ni Ejec</v>
      </c>
      <c r="BR75" s="580">
        <f t="shared" si="10"/>
        <v>0</v>
      </c>
      <c r="BS75" s="580" t="str">
        <f t="shared" si="11"/>
        <v>No Prog ni Ejec</v>
      </c>
      <c r="BT75" s="553">
        <f t="shared" si="15"/>
        <v>2.3333333333333335</v>
      </c>
      <c r="BU75" s="526" t="str">
        <f t="shared" si="31"/>
        <v>Generar boletines con resultados del proceso reclamaciones</v>
      </c>
      <c r="BV75" s="527">
        <f t="shared" si="34"/>
        <v>0</v>
      </c>
      <c r="BW75" s="524"/>
      <c r="BX75" s="524"/>
      <c r="BY75" s="524"/>
      <c r="BZ75" s="524"/>
      <c r="CA75" s="524"/>
      <c r="CB75" s="524"/>
      <c r="CC75" s="524"/>
    </row>
    <row r="76" spans="1:81" s="457" customFormat="1" ht="51" x14ac:dyDescent="0.25">
      <c r="A76" s="513">
        <v>11600</v>
      </c>
      <c r="B76" s="514" t="s">
        <v>6</v>
      </c>
      <c r="C76" s="515" t="s">
        <v>266</v>
      </c>
      <c r="D76" s="514" t="s">
        <v>153</v>
      </c>
      <c r="E76" s="515" t="s">
        <v>268</v>
      </c>
      <c r="F76" s="514" t="s">
        <v>133</v>
      </c>
      <c r="G76" s="516" t="s">
        <v>124</v>
      </c>
      <c r="H76" s="515">
        <v>4</v>
      </c>
      <c r="I76" s="515" t="s">
        <v>271</v>
      </c>
      <c r="J76" s="514" t="s">
        <v>24</v>
      </c>
      <c r="K76" s="518">
        <v>0</v>
      </c>
      <c r="L76" s="519">
        <v>1</v>
      </c>
      <c r="M76" s="514" t="s">
        <v>51</v>
      </c>
      <c r="N76" s="514" t="s">
        <v>68</v>
      </c>
      <c r="O76" s="514" t="s">
        <v>21</v>
      </c>
      <c r="P76" s="514" t="s">
        <v>36</v>
      </c>
      <c r="Q76" s="514" t="s">
        <v>75</v>
      </c>
      <c r="R76" s="514" t="s">
        <v>631</v>
      </c>
      <c r="S76" s="514" t="s">
        <v>98</v>
      </c>
      <c r="T76" s="515">
        <v>4</v>
      </c>
      <c r="U76" s="520" t="str">
        <f t="shared" si="16"/>
        <v>Reportar el cumplimiento del Plan de Acción de la Dependencia</v>
      </c>
      <c r="V76" s="521">
        <f t="shared" si="17"/>
        <v>0</v>
      </c>
      <c r="W76" s="522" t="s">
        <v>117</v>
      </c>
      <c r="X76" s="547">
        <v>1</v>
      </c>
      <c r="Y76" s="522" t="s">
        <v>24</v>
      </c>
      <c r="Z76" s="518">
        <v>0</v>
      </c>
      <c r="AA76" s="559">
        <v>1</v>
      </c>
      <c r="AB76" s="611">
        <v>0</v>
      </c>
      <c r="AC76" s="523">
        <f t="shared" ref="AC76:AC142" si="35">+(AA76/X76)</f>
        <v>1</v>
      </c>
      <c r="AD76" s="523" t="e">
        <f t="shared" ref="AD76:AD142" si="36">+(AB76/Z76)</f>
        <v>#DIV/0!</v>
      </c>
      <c r="AE76" s="523">
        <f t="shared" ref="AE76:AE142" si="37">+(AA76/T76)</f>
        <v>0.25</v>
      </c>
      <c r="AF76" s="523" t="e">
        <f t="shared" ref="AF76:AF142" si="38">+(AB76/V76)</f>
        <v>#DIV/0!</v>
      </c>
      <c r="AG76" s="528" t="s">
        <v>997</v>
      </c>
      <c r="AH76" s="547">
        <v>1</v>
      </c>
      <c r="AI76" s="522" t="s">
        <v>24</v>
      </c>
      <c r="AJ76" s="518">
        <v>0</v>
      </c>
      <c r="AK76" s="524"/>
      <c r="AL76" s="524"/>
      <c r="AM76" s="523">
        <f t="shared" ref="AM76:AM142" si="39">+(AK76/AH76)</f>
        <v>0</v>
      </c>
      <c r="AN76" s="523" t="e">
        <f t="shared" ref="AN76:AN142" si="40">+(AL76/AJ76)</f>
        <v>#DIV/0!</v>
      </c>
      <c r="AO76" s="523">
        <f t="shared" ref="AO76:AO142" si="41">+(AK76+AA76)/T76</f>
        <v>0.25</v>
      </c>
      <c r="AP76" s="523" t="e">
        <f t="shared" ref="AP76:AP142" si="42">+(AL76+AB76)/V76</f>
        <v>#DIV/0!</v>
      </c>
      <c r="AQ76" s="523"/>
      <c r="AR76" s="547">
        <v>1</v>
      </c>
      <c r="AS76" s="522" t="s">
        <v>24</v>
      </c>
      <c r="AT76" s="518">
        <v>0</v>
      </c>
      <c r="AU76" s="524"/>
      <c r="AV76" s="524"/>
      <c r="AW76" s="523">
        <f t="shared" ref="AW76:AW142" si="43">+(AU76/AR76)</f>
        <v>0</v>
      </c>
      <c r="AX76" s="523" t="e">
        <f t="shared" ref="AX76:AX142" si="44">+(AV76/AT76)</f>
        <v>#DIV/0!</v>
      </c>
      <c r="AY76" s="523">
        <f t="shared" ref="AY76:AY142" si="45">+(AK76+AA76+AU76)/T76</f>
        <v>0.25</v>
      </c>
      <c r="AZ76" s="523" t="e">
        <f t="shared" ref="AZ76:AZ142" si="46">+(AL76+AB76+AV76)/V76</f>
        <v>#DIV/0!</v>
      </c>
      <c r="BA76" s="523"/>
      <c r="BB76" s="547">
        <v>1</v>
      </c>
      <c r="BC76" s="522" t="s">
        <v>24</v>
      </c>
      <c r="BD76" s="518">
        <v>0</v>
      </c>
      <c r="BE76" s="524"/>
      <c r="BF76" s="524"/>
      <c r="BG76" s="517">
        <f t="shared" si="25"/>
        <v>0</v>
      </c>
      <c r="BH76" s="517" t="e">
        <f t="shared" si="26"/>
        <v>#DIV/0!</v>
      </c>
      <c r="BI76" s="517">
        <f t="shared" si="27"/>
        <v>0.25</v>
      </c>
      <c r="BJ76" s="517" t="e">
        <f t="shared" si="28"/>
        <v>#DIV/0!</v>
      </c>
      <c r="BK76" s="517"/>
      <c r="BL76" s="580">
        <f t="shared" ref="BL76:BL142" si="47">IF(AND(X76=0,AA76=0),"No Prog ni Ejec",IF(X76=0,CONCATENATE("No Prog, Ejec=  ",AA76),AA76/X76))</f>
        <v>1</v>
      </c>
      <c r="BM76" s="580" t="str">
        <f t="shared" ref="BM76:BM142" si="48">IF(AND(Z76=0,AB76=0),"No Prog ni Ejec",IF(Z76=0,CONCATENATE("No Prog, Ejec=  ",AB76),AB76/Z76))</f>
        <v>No Prog ni Ejec</v>
      </c>
      <c r="BN76" s="580">
        <f t="shared" ref="BN76:BN142" si="49">IF(AND(AH76=0,AK76=0),"No Prog ni Ejec",IF(AH76=0,CONCATENATE("No Prog, Ejec=  ",AK76),AK76/AH76))</f>
        <v>0</v>
      </c>
      <c r="BO76" s="580" t="str">
        <f t="shared" ref="BO76:BO142" si="50">IF(AND(AJ76=0,AL76=0),"No Prog ni Ejec",IF(AJ76=0,CONCATENATE("No Prog, Ejec=  ",AL76),AL76/AJ76))</f>
        <v>No Prog ni Ejec</v>
      </c>
      <c r="BP76" s="580">
        <f t="shared" ref="BP76:BP142" si="51">IF(AND(AR76=0,AU76=0),"No Prog ni Ejec",IF(AR76=0,CONCATENATE("No Prog, Ejec=  ",AU76),AU76/AR76))</f>
        <v>0</v>
      </c>
      <c r="BQ76" s="580" t="str">
        <f t="shared" ref="BQ76:BQ142" si="52">IF(AND(AT76=0,AV76=0),"No Prog ni Ejec",IF(AT76=0,CONCATENATE("No Prog, Ejec=  ",AV76),AV76/AT76))</f>
        <v>No Prog ni Ejec</v>
      </c>
      <c r="BR76" s="580">
        <f t="shared" ref="BR76:BR142" si="53">IF(AND(BB76=0,BE76=0),"No Prog ni Ejec",IF(BB76=0,CONCATENATE("No Prog, Ejec=  ",BE76),BE76/BB76))</f>
        <v>0</v>
      </c>
      <c r="BS76" s="580" t="str">
        <f t="shared" ref="BS76:BS142" si="54">IF(AND(BD76=0,BF76=0),"No Prog ni Ejec",IF(BD76=0,CONCATENATE("No Prog, Ejec=  ",BF76),BF76/BD76))</f>
        <v>No Prog ni Ejec</v>
      </c>
      <c r="BT76" s="553">
        <f t="shared" ref="BT76:BT140" si="55">+(X76+AH76+(AR76/3))</f>
        <v>2.3333333333333335</v>
      </c>
      <c r="BU76" s="526" t="str">
        <f t="shared" si="31"/>
        <v>Reportar el cumplimiento del Plan de Acción de la Dependencia</v>
      </c>
      <c r="BV76" s="527">
        <f t="shared" si="34"/>
        <v>0</v>
      </c>
      <c r="BW76" s="524"/>
      <c r="BX76" s="524"/>
      <c r="BY76" s="524"/>
      <c r="BZ76" s="524"/>
      <c r="CA76" s="524"/>
      <c r="CB76" s="524"/>
      <c r="CC76" s="524"/>
    </row>
    <row r="77" spans="1:81" s="457" customFormat="1" ht="229.5" x14ac:dyDescent="0.25">
      <c r="A77" s="513">
        <v>11600</v>
      </c>
      <c r="B77" s="514" t="s">
        <v>6</v>
      </c>
      <c r="C77" s="515" t="s">
        <v>267</v>
      </c>
      <c r="D77" s="514" t="s">
        <v>256</v>
      </c>
      <c r="E77" s="515" t="s">
        <v>269</v>
      </c>
      <c r="F77" s="514" t="s">
        <v>159</v>
      </c>
      <c r="G77" s="516" t="s">
        <v>123</v>
      </c>
      <c r="H77" s="517">
        <v>1</v>
      </c>
      <c r="I77" s="515" t="s">
        <v>272</v>
      </c>
      <c r="J77" s="514" t="s">
        <v>598</v>
      </c>
      <c r="K77" s="518">
        <v>0</v>
      </c>
      <c r="L77" s="519">
        <v>1</v>
      </c>
      <c r="M77" s="514" t="s">
        <v>51</v>
      </c>
      <c r="N77" s="514" t="s">
        <v>68</v>
      </c>
      <c r="O77" s="514" t="s">
        <v>21</v>
      </c>
      <c r="P77" s="514" t="s">
        <v>36</v>
      </c>
      <c r="Q77" s="514" t="s">
        <v>75</v>
      </c>
      <c r="R77" s="514" t="s">
        <v>632</v>
      </c>
      <c r="S77" s="514" t="s">
        <v>98</v>
      </c>
      <c r="T77" s="519">
        <v>1</v>
      </c>
      <c r="U77" s="520" t="str">
        <f t="shared" ref="U77:U143" si="56">+J77</f>
        <v>Formular los procesos y procedimientos en el marco del MIPG</v>
      </c>
      <c r="V77" s="521">
        <f t="shared" ref="V77:V143" si="57">+K77</f>
        <v>0</v>
      </c>
      <c r="W77" s="522" t="s">
        <v>117</v>
      </c>
      <c r="X77" s="517">
        <v>0.25</v>
      </c>
      <c r="Y77" s="522" t="s">
        <v>598</v>
      </c>
      <c r="Z77" s="518">
        <v>0</v>
      </c>
      <c r="AA77" s="612">
        <v>0.46150000000000002</v>
      </c>
      <c r="AB77" s="611">
        <v>0</v>
      </c>
      <c r="AC77" s="523">
        <f t="shared" si="35"/>
        <v>1.8460000000000001</v>
      </c>
      <c r="AD77" s="523" t="e">
        <f t="shared" si="36"/>
        <v>#DIV/0!</v>
      </c>
      <c r="AE77" s="523">
        <f t="shared" si="37"/>
        <v>0.46150000000000002</v>
      </c>
      <c r="AF77" s="523" t="e">
        <f t="shared" si="38"/>
        <v>#DIV/0!</v>
      </c>
      <c r="AG77" s="528" t="s">
        <v>1021</v>
      </c>
      <c r="AH77" s="517">
        <v>0.25</v>
      </c>
      <c r="AI77" s="522" t="s">
        <v>598</v>
      </c>
      <c r="AJ77" s="518">
        <v>0</v>
      </c>
      <c r="AK77" s="524"/>
      <c r="AL77" s="524"/>
      <c r="AM77" s="523">
        <f t="shared" si="39"/>
        <v>0</v>
      </c>
      <c r="AN77" s="523" t="e">
        <f t="shared" si="40"/>
        <v>#DIV/0!</v>
      </c>
      <c r="AO77" s="523">
        <f t="shared" si="41"/>
        <v>0.46150000000000002</v>
      </c>
      <c r="AP77" s="523" t="e">
        <f t="shared" si="42"/>
        <v>#DIV/0!</v>
      </c>
      <c r="AQ77" s="523"/>
      <c r="AR77" s="517">
        <v>0.25</v>
      </c>
      <c r="AS77" s="522" t="s">
        <v>598</v>
      </c>
      <c r="AT77" s="518">
        <v>0</v>
      </c>
      <c r="AU77" s="524"/>
      <c r="AV77" s="524"/>
      <c r="AW77" s="523">
        <f t="shared" si="43"/>
        <v>0</v>
      </c>
      <c r="AX77" s="523" t="e">
        <f t="shared" si="44"/>
        <v>#DIV/0!</v>
      </c>
      <c r="AY77" s="523">
        <f t="shared" si="45"/>
        <v>0.46150000000000002</v>
      </c>
      <c r="AZ77" s="523" t="e">
        <f t="shared" si="46"/>
        <v>#DIV/0!</v>
      </c>
      <c r="BA77" s="523"/>
      <c r="BB77" s="517">
        <v>0.25</v>
      </c>
      <c r="BC77" s="522" t="s">
        <v>598</v>
      </c>
      <c r="BD77" s="518">
        <v>0</v>
      </c>
      <c r="BE77" s="524"/>
      <c r="BF77" s="524"/>
      <c r="BG77" s="517">
        <f t="shared" ref="BG77:BG143" si="58">+(BE77/BB77)</f>
        <v>0</v>
      </c>
      <c r="BH77" s="517" t="e">
        <f t="shared" ref="BH77:BH143" si="59">+(BF77/BD77)</f>
        <v>#DIV/0!</v>
      </c>
      <c r="BI77" s="517">
        <f t="shared" ref="BI77:BI143" si="60">+(AK77+AA77+AU77+BE77)/T77</f>
        <v>0.46150000000000002</v>
      </c>
      <c r="BJ77" s="517" t="e">
        <f t="shared" ref="BJ77:BJ143" si="61">+(AL77+AB77+AV77+BF77)/V77</f>
        <v>#DIV/0!</v>
      </c>
      <c r="BK77" s="517"/>
      <c r="BL77" s="580">
        <f t="shared" si="47"/>
        <v>1.8460000000000001</v>
      </c>
      <c r="BM77" s="580" t="str">
        <f t="shared" si="48"/>
        <v>No Prog ni Ejec</v>
      </c>
      <c r="BN77" s="580">
        <f t="shared" si="49"/>
        <v>0</v>
      </c>
      <c r="BO77" s="580" t="str">
        <f t="shared" si="50"/>
        <v>No Prog ni Ejec</v>
      </c>
      <c r="BP77" s="580">
        <f t="shared" si="51"/>
        <v>0</v>
      </c>
      <c r="BQ77" s="580" t="str">
        <f t="shared" si="52"/>
        <v>No Prog ni Ejec</v>
      </c>
      <c r="BR77" s="580">
        <f t="shared" si="53"/>
        <v>0</v>
      </c>
      <c r="BS77" s="580" t="str">
        <f t="shared" si="54"/>
        <v>No Prog ni Ejec</v>
      </c>
      <c r="BT77" s="525">
        <f t="shared" si="55"/>
        <v>0.58333333333333337</v>
      </c>
      <c r="BU77" s="526" t="str">
        <f t="shared" si="31"/>
        <v>Formular los procesos y procedimientos en el marco del MIPG</v>
      </c>
      <c r="BV77" s="527">
        <f t="shared" si="34"/>
        <v>0</v>
      </c>
      <c r="BW77" s="524"/>
      <c r="BX77" s="524"/>
      <c r="BY77" s="524"/>
      <c r="BZ77" s="524"/>
      <c r="CA77" s="524"/>
      <c r="CB77" s="524"/>
      <c r="CC77" s="524"/>
    </row>
    <row r="78" spans="1:81" s="457" customFormat="1" ht="89.25" x14ac:dyDescent="0.25">
      <c r="A78" s="513">
        <v>11600</v>
      </c>
      <c r="B78" s="514" t="s">
        <v>6</v>
      </c>
      <c r="C78" s="515" t="s">
        <v>267</v>
      </c>
      <c r="D78" s="514" t="s">
        <v>256</v>
      </c>
      <c r="E78" s="515" t="s">
        <v>270</v>
      </c>
      <c r="F78" s="514" t="s">
        <v>127</v>
      </c>
      <c r="G78" s="516" t="s">
        <v>124</v>
      </c>
      <c r="H78" s="515">
        <v>4</v>
      </c>
      <c r="I78" s="515" t="s">
        <v>273</v>
      </c>
      <c r="J78" s="514" t="s">
        <v>128</v>
      </c>
      <c r="K78" s="518">
        <v>0</v>
      </c>
      <c r="L78" s="519">
        <v>1</v>
      </c>
      <c r="M78" s="514" t="s">
        <v>51</v>
      </c>
      <c r="N78" s="514" t="s">
        <v>68</v>
      </c>
      <c r="O78" s="514" t="s">
        <v>21</v>
      </c>
      <c r="P78" s="514" t="s">
        <v>36</v>
      </c>
      <c r="Q78" s="514" t="s">
        <v>75</v>
      </c>
      <c r="R78" s="514" t="s">
        <v>137</v>
      </c>
      <c r="S78" s="514" t="s">
        <v>98</v>
      </c>
      <c r="T78" s="515">
        <v>4</v>
      </c>
      <c r="U78" s="520" t="str">
        <f t="shared" si="56"/>
        <v>Remitir informes trimestrales de los indicadores formulados y las acciones de mejoras</v>
      </c>
      <c r="V78" s="521">
        <f t="shared" si="57"/>
        <v>0</v>
      </c>
      <c r="W78" s="522" t="s">
        <v>117</v>
      </c>
      <c r="X78" s="519">
        <v>0</v>
      </c>
      <c r="Y78" s="522" t="s">
        <v>128</v>
      </c>
      <c r="Z78" s="518">
        <v>0</v>
      </c>
      <c r="AA78" s="559">
        <v>0</v>
      </c>
      <c r="AB78" s="611">
        <v>0</v>
      </c>
      <c r="AC78" s="523" t="e">
        <f t="shared" si="35"/>
        <v>#DIV/0!</v>
      </c>
      <c r="AD78" s="523" t="e">
        <f t="shared" si="36"/>
        <v>#DIV/0!</v>
      </c>
      <c r="AE78" s="523">
        <f>+(AA78/T78)</f>
        <v>0</v>
      </c>
      <c r="AF78" s="523" t="e">
        <f t="shared" si="38"/>
        <v>#DIV/0!</v>
      </c>
      <c r="AG78" s="528" t="s">
        <v>909</v>
      </c>
      <c r="AH78" s="547">
        <v>1</v>
      </c>
      <c r="AI78" s="522" t="s">
        <v>128</v>
      </c>
      <c r="AJ78" s="518">
        <v>0</v>
      </c>
      <c r="AK78" s="524"/>
      <c r="AL78" s="524"/>
      <c r="AM78" s="523">
        <f t="shared" si="39"/>
        <v>0</v>
      </c>
      <c r="AN78" s="523" t="e">
        <f t="shared" si="40"/>
        <v>#DIV/0!</v>
      </c>
      <c r="AO78" s="523">
        <f t="shared" si="41"/>
        <v>0</v>
      </c>
      <c r="AP78" s="523" t="e">
        <f t="shared" si="42"/>
        <v>#DIV/0!</v>
      </c>
      <c r="AQ78" s="523"/>
      <c r="AR78" s="547">
        <v>1</v>
      </c>
      <c r="AS78" s="522" t="s">
        <v>128</v>
      </c>
      <c r="AT78" s="518">
        <v>0</v>
      </c>
      <c r="AU78" s="524"/>
      <c r="AV78" s="524"/>
      <c r="AW78" s="523">
        <f t="shared" si="43"/>
        <v>0</v>
      </c>
      <c r="AX78" s="523" t="e">
        <f t="shared" si="44"/>
        <v>#DIV/0!</v>
      </c>
      <c r="AY78" s="523">
        <f t="shared" si="45"/>
        <v>0</v>
      </c>
      <c r="AZ78" s="523" t="e">
        <f t="shared" si="46"/>
        <v>#DIV/0!</v>
      </c>
      <c r="BA78" s="523"/>
      <c r="BB78" s="547">
        <v>1</v>
      </c>
      <c r="BC78" s="522" t="s">
        <v>128</v>
      </c>
      <c r="BD78" s="518">
        <v>0</v>
      </c>
      <c r="BE78" s="524"/>
      <c r="BF78" s="524"/>
      <c r="BG78" s="517">
        <f t="shared" si="58"/>
        <v>0</v>
      </c>
      <c r="BH78" s="517" t="e">
        <f t="shared" si="59"/>
        <v>#DIV/0!</v>
      </c>
      <c r="BI78" s="517">
        <f t="shared" si="60"/>
        <v>0</v>
      </c>
      <c r="BJ78" s="517" t="e">
        <f t="shared" si="61"/>
        <v>#DIV/0!</v>
      </c>
      <c r="BK78" s="517"/>
      <c r="BL78" s="580" t="str">
        <f t="shared" si="47"/>
        <v>No Prog ni Ejec</v>
      </c>
      <c r="BM78" s="580" t="str">
        <f t="shared" si="48"/>
        <v>No Prog ni Ejec</v>
      </c>
      <c r="BN78" s="580">
        <f t="shared" si="49"/>
        <v>0</v>
      </c>
      <c r="BO78" s="580" t="str">
        <f t="shared" si="50"/>
        <v>No Prog ni Ejec</v>
      </c>
      <c r="BP78" s="580">
        <f t="shared" si="51"/>
        <v>0</v>
      </c>
      <c r="BQ78" s="580" t="str">
        <f t="shared" si="52"/>
        <v>No Prog ni Ejec</v>
      </c>
      <c r="BR78" s="580">
        <f t="shared" si="53"/>
        <v>0</v>
      </c>
      <c r="BS78" s="580" t="str">
        <f t="shared" si="54"/>
        <v>No Prog ni Ejec</v>
      </c>
      <c r="BT78" s="553">
        <f t="shared" si="55"/>
        <v>1.3333333333333333</v>
      </c>
      <c r="BU78" s="526" t="str">
        <f t="shared" si="31"/>
        <v>Remitir informes trimestrales de los indicadores formulados y las acciones de mejoras</v>
      </c>
      <c r="BV78" s="527">
        <f t="shared" si="34"/>
        <v>0</v>
      </c>
      <c r="BW78" s="524"/>
      <c r="BX78" s="524"/>
      <c r="BY78" s="524"/>
      <c r="BZ78" s="524"/>
      <c r="CA78" s="524"/>
      <c r="CB78" s="524"/>
      <c r="CC78" s="524"/>
    </row>
    <row r="79" spans="1:81" s="457" customFormat="1" ht="51" x14ac:dyDescent="0.25">
      <c r="A79" s="513">
        <v>11600</v>
      </c>
      <c r="B79" s="514" t="s">
        <v>6</v>
      </c>
      <c r="C79" s="515" t="s">
        <v>278</v>
      </c>
      <c r="D79" s="514" t="s">
        <v>147</v>
      </c>
      <c r="E79" s="515" t="s">
        <v>279</v>
      </c>
      <c r="F79" s="514" t="s">
        <v>277</v>
      </c>
      <c r="G79" s="516" t="s">
        <v>124</v>
      </c>
      <c r="H79" s="515">
        <v>1</v>
      </c>
      <c r="I79" s="515" t="s">
        <v>282</v>
      </c>
      <c r="J79" s="514" t="s">
        <v>280</v>
      </c>
      <c r="K79" s="518">
        <v>0</v>
      </c>
      <c r="L79" s="519">
        <v>1</v>
      </c>
      <c r="M79" s="514" t="s">
        <v>46</v>
      </c>
      <c r="N79" s="514" t="s">
        <v>73</v>
      </c>
      <c r="O79" s="514" t="s">
        <v>37</v>
      </c>
      <c r="P79" s="514" t="s">
        <v>40</v>
      </c>
      <c r="Q79" s="514" t="s">
        <v>228</v>
      </c>
      <c r="R79" s="514" t="s">
        <v>633</v>
      </c>
      <c r="S79" s="514" t="s">
        <v>99</v>
      </c>
      <c r="T79" s="515">
        <v>1</v>
      </c>
      <c r="U79" s="520" t="str">
        <f t="shared" si="56"/>
        <v>Desarrollo e implementación del PETI</v>
      </c>
      <c r="V79" s="521">
        <f t="shared" si="57"/>
        <v>0</v>
      </c>
      <c r="W79" s="522" t="s">
        <v>117</v>
      </c>
      <c r="X79" s="547">
        <v>0</v>
      </c>
      <c r="Y79" s="522" t="s">
        <v>280</v>
      </c>
      <c r="Z79" s="518">
        <v>0</v>
      </c>
      <c r="AA79" s="559">
        <v>0</v>
      </c>
      <c r="AB79" s="611">
        <v>0</v>
      </c>
      <c r="AC79" s="523" t="e">
        <f t="shared" si="35"/>
        <v>#DIV/0!</v>
      </c>
      <c r="AD79" s="523" t="e">
        <f t="shared" si="36"/>
        <v>#DIV/0!</v>
      </c>
      <c r="AE79" s="523">
        <f t="shared" si="37"/>
        <v>0</v>
      </c>
      <c r="AF79" s="523" t="e">
        <f t="shared" si="38"/>
        <v>#DIV/0!</v>
      </c>
      <c r="AG79" s="528" t="s">
        <v>1022</v>
      </c>
      <c r="AH79" s="547">
        <v>1</v>
      </c>
      <c r="AI79" s="522" t="s">
        <v>280</v>
      </c>
      <c r="AJ79" s="518">
        <v>0</v>
      </c>
      <c r="AK79" s="524"/>
      <c r="AL79" s="524"/>
      <c r="AM79" s="523">
        <f t="shared" si="39"/>
        <v>0</v>
      </c>
      <c r="AN79" s="523" t="e">
        <f t="shared" si="40"/>
        <v>#DIV/0!</v>
      </c>
      <c r="AO79" s="523">
        <f t="shared" si="41"/>
        <v>0</v>
      </c>
      <c r="AP79" s="523" t="e">
        <f t="shared" si="42"/>
        <v>#DIV/0!</v>
      </c>
      <c r="AQ79" s="523"/>
      <c r="AR79" s="547">
        <v>0</v>
      </c>
      <c r="AS79" s="522" t="s">
        <v>280</v>
      </c>
      <c r="AT79" s="518">
        <v>0</v>
      </c>
      <c r="AU79" s="524"/>
      <c r="AV79" s="524"/>
      <c r="AW79" s="523" t="e">
        <f t="shared" si="43"/>
        <v>#DIV/0!</v>
      </c>
      <c r="AX79" s="523" t="e">
        <f t="shared" si="44"/>
        <v>#DIV/0!</v>
      </c>
      <c r="AY79" s="523">
        <f t="shared" si="45"/>
        <v>0</v>
      </c>
      <c r="AZ79" s="523" t="e">
        <f t="shared" si="46"/>
        <v>#DIV/0!</v>
      </c>
      <c r="BA79" s="523"/>
      <c r="BB79" s="547">
        <v>0</v>
      </c>
      <c r="BC79" s="522" t="s">
        <v>280</v>
      </c>
      <c r="BD79" s="518">
        <v>0</v>
      </c>
      <c r="BE79" s="524"/>
      <c r="BF79" s="524"/>
      <c r="BG79" s="517" t="e">
        <f t="shared" si="58"/>
        <v>#DIV/0!</v>
      </c>
      <c r="BH79" s="517" t="e">
        <f t="shared" si="59"/>
        <v>#DIV/0!</v>
      </c>
      <c r="BI79" s="517">
        <f t="shared" si="60"/>
        <v>0</v>
      </c>
      <c r="BJ79" s="517" t="e">
        <f t="shared" si="61"/>
        <v>#DIV/0!</v>
      </c>
      <c r="BK79" s="517"/>
      <c r="BL79" s="580" t="str">
        <f t="shared" si="47"/>
        <v>No Prog ni Ejec</v>
      </c>
      <c r="BM79" s="580" t="str">
        <f t="shared" si="48"/>
        <v>No Prog ni Ejec</v>
      </c>
      <c r="BN79" s="580">
        <f t="shared" si="49"/>
        <v>0</v>
      </c>
      <c r="BO79" s="580" t="str">
        <f t="shared" si="50"/>
        <v>No Prog ni Ejec</v>
      </c>
      <c r="BP79" s="580" t="str">
        <f t="shared" si="51"/>
        <v>No Prog ni Ejec</v>
      </c>
      <c r="BQ79" s="580" t="str">
        <f t="shared" si="52"/>
        <v>No Prog ni Ejec</v>
      </c>
      <c r="BR79" s="580" t="str">
        <f t="shared" si="53"/>
        <v>No Prog ni Ejec</v>
      </c>
      <c r="BS79" s="580" t="str">
        <f t="shared" si="54"/>
        <v>No Prog ni Ejec</v>
      </c>
      <c r="BT79" s="553">
        <f t="shared" si="55"/>
        <v>1</v>
      </c>
      <c r="BU79" s="526" t="str">
        <f t="shared" si="31"/>
        <v>Desarrollo e implementación del PETI</v>
      </c>
      <c r="BV79" s="527">
        <f t="shared" si="34"/>
        <v>0</v>
      </c>
      <c r="BW79" s="524"/>
      <c r="BX79" s="524"/>
      <c r="BY79" s="524"/>
      <c r="BZ79" s="524"/>
      <c r="CA79" s="524"/>
      <c r="CB79" s="524"/>
      <c r="CC79" s="524"/>
    </row>
    <row r="80" spans="1:81" s="457" customFormat="1" ht="409.5" x14ac:dyDescent="0.25">
      <c r="A80" s="513">
        <v>11600</v>
      </c>
      <c r="B80" s="514" t="s">
        <v>6</v>
      </c>
      <c r="C80" s="515" t="s">
        <v>278</v>
      </c>
      <c r="D80" s="514" t="s">
        <v>147</v>
      </c>
      <c r="E80" s="515" t="s">
        <v>513</v>
      </c>
      <c r="F80" s="514" t="s">
        <v>283</v>
      </c>
      <c r="G80" s="516" t="s">
        <v>123</v>
      </c>
      <c r="H80" s="517">
        <v>1</v>
      </c>
      <c r="I80" s="515" t="s">
        <v>514</v>
      </c>
      <c r="J80" s="514" t="s">
        <v>281</v>
      </c>
      <c r="K80" s="518">
        <f>5073602759+725656661.85+357741778</f>
        <v>6157001198.8500004</v>
      </c>
      <c r="L80" s="519">
        <v>1</v>
      </c>
      <c r="M80" s="514" t="s">
        <v>46</v>
      </c>
      <c r="N80" s="514" t="s">
        <v>73</v>
      </c>
      <c r="O80" s="514" t="s">
        <v>37</v>
      </c>
      <c r="P80" s="514" t="s">
        <v>40</v>
      </c>
      <c r="Q80" s="514" t="s">
        <v>228</v>
      </c>
      <c r="R80" s="514" t="s">
        <v>634</v>
      </c>
      <c r="S80" s="514" t="s">
        <v>99</v>
      </c>
      <c r="T80" s="519">
        <v>1</v>
      </c>
      <c r="U80" s="520" t="str">
        <f t="shared" si="56"/>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V80" s="521">
        <f t="shared" si="57"/>
        <v>6157001198.8500004</v>
      </c>
      <c r="W80" s="522" t="s">
        <v>114</v>
      </c>
      <c r="X80" s="517">
        <v>0.13219897304087358</v>
      </c>
      <c r="Y80" s="522" t="s">
        <v>281</v>
      </c>
      <c r="Z80" s="518">
        <f>+K80*X80</f>
        <v>813949235.49939752</v>
      </c>
      <c r="AA80" s="613">
        <f>(AB80/Z80)*0.13</f>
        <v>9.7743683943246243E-2</v>
      </c>
      <c r="AB80" s="611">
        <v>611987667.85000002</v>
      </c>
      <c r="AC80" s="523">
        <f>+(AA80/X80)</f>
        <v>0.73936795192066751</v>
      </c>
      <c r="AD80" s="523">
        <f t="shared" si="36"/>
        <v>0.75187449187112487</v>
      </c>
      <c r="AE80" s="523">
        <f t="shared" si="37"/>
        <v>9.7743683943246243E-2</v>
      </c>
      <c r="AF80" s="523">
        <f t="shared" si="38"/>
        <v>9.9397035680991355E-2</v>
      </c>
      <c r="AG80" s="528" t="s">
        <v>1023</v>
      </c>
      <c r="AH80" s="517">
        <v>0.15915595257019777</v>
      </c>
      <c r="AI80" s="522" t="s">
        <v>281</v>
      </c>
      <c r="AJ80" s="518">
        <f>+V80*AH80</f>
        <v>979923390.77882147</v>
      </c>
      <c r="AK80" s="524"/>
      <c r="AL80" s="524"/>
      <c r="AM80" s="523">
        <f t="shared" si="39"/>
        <v>0</v>
      </c>
      <c r="AN80" s="523">
        <f t="shared" si="40"/>
        <v>0</v>
      </c>
      <c r="AO80" s="523">
        <f t="shared" si="41"/>
        <v>9.7743683943246243E-2</v>
      </c>
      <c r="AP80" s="523">
        <f t="shared" si="42"/>
        <v>9.9397035680991355E-2</v>
      </c>
      <c r="AQ80" s="523"/>
      <c r="AR80" s="517">
        <v>0.32737162236934764</v>
      </c>
      <c r="AS80" s="522" t="s">
        <v>281</v>
      </c>
      <c r="AT80" s="518">
        <f>+V80*AR80</f>
        <v>2015627471.397543</v>
      </c>
      <c r="AU80" s="524"/>
      <c r="AV80" s="524"/>
      <c r="AW80" s="523">
        <f t="shared" si="43"/>
        <v>0</v>
      </c>
      <c r="AX80" s="523">
        <f t="shared" si="44"/>
        <v>0</v>
      </c>
      <c r="AY80" s="523">
        <f t="shared" si="45"/>
        <v>9.7743683943246243E-2</v>
      </c>
      <c r="AZ80" s="523">
        <f t="shared" si="46"/>
        <v>9.9397035680991355E-2</v>
      </c>
      <c r="BA80" s="523"/>
      <c r="BB80" s="517">
        <v>0.38127345201958091</v>
      </c>
      <c r="BC80" s="522" t="s">
        <v>281</v>
      </c>
      <c r="BD80" s="518">
        <f>+K80*BB80</f>
        <v>2347501101.1742377</v>
      </c>
      <c r="BE80" s="524"/>
      <c r="BF80" s="524"/>
      <c r="BG80" s="517">
        <f t="shared" si="58"/>
        <v>0</v>
      </c>
      <c r="BH80" s="517">
        <f t="shared" si="59"/>
        <v>0</v>
      </c>
      <c r="BI80" s="517">
        <f t="shared" si="60"/>
        <v>9.7743683943246243E-2</v>
      </c>
      <c r="BJ80" s="517">
        <f t="shared" si="61"/>
        <v>9.9397035680991355E-2</v>
      </c>
      <c r="BK80" s="517"/>
      <c r="BL80" s="580">
        <f t="shared" si="47"/>
        <v>0.73936795192066751</v>
      </c>
      <c r="BM80" s="580">
        <f t="shared" si="48"/>
        <v>0.75187449187112487</v>
      </c>
      <c r="BN80" s="580">
        <f t="shared" si="49"/>
        <v>0</v>
      </c>
      <c r="BO80" s="580">
        <f t="shared" si="50"/>
        <v>0</v>
      </c>
      <c r="BP80" s="580">
        <f t="shared" si="51"/>
        <v>0</v>
      </c>
      <c r="BQ80" s="580">
        <f t="shared" si="52"/>
        <v>0</v>
      </c>
      <c r="BR80" s="580">
        <f t="shared" si="53"/>
        <v>0</v>
      </c>
      <c r="BS80" s="580">
        <f t="shared" si="54"/>
        <v>0</v>
      </c>
      <c r="BT80" s="525">
        <f t="shared" si="55"/>
        <v>0.40047879973418721</v>
      </c>
      <c r="BU80" s="526" t="str">
        <f t="shared" ref="BU80:BU144" si="62">+U80</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V80" s="527">
        <f t="shared" si="34"/>
        <v>2465748450.0774002</v>
      </c>
      <c r="BW80" s="524"/>
      <c r="BX80" s="524"/>
      <c r="BY80" s="524"/>
      <c r="BZ80" s="524"/>
      <c r="CA80" s="524"/>
      <c r="CB80" s="524"/>
      <c r="CC80" s="524"/>
    </row>
    <row r="81" spans="1:81" s="457" customFormat="1" ht="63.75" x14ac:dyDescent="0.25">
      <c r="A81" s="513">
        <v>11600</v>
      </c>
      <c r="B81" s="514" t="s">
        <v>6</v>
      </c>
      <c r="C81" s="515" t="s">
        <v>278</v>
      </c>
      <c r="D81" s="514" t="s">
        <v>147</v>
      </c>
      <c r="E81" s="515" t="s">
        <v>516</v>
      </c>
      <c r="F81" s="514" t="s">
        <v>285</v>
      </c>
      <c r="G81" s="516" t="s">
        <v>123</v>
      </c>
      <c r="H81" s="517">
        <v>1</v>
      </c>
      <c r="I81" s="515" t="s">
        <v>517</v>
      </c>
      <c r="J81" s="514" t="s">
        <v>284</v>
      </c>
      <c r="K81" s="518">
        <v>1024732093</v>
      </c>
      <c r="L81" s="519">
        <v>1</v>
      </c>
      <c r="M81" s="514" t="s">
        <v>46</v>
      </c>
      <c r="N81" s="514" t="s">
        <v>73</v>
      </c>
      <c r="O81" s="514" t="s">
        <v>37</v>
      </c>
      <c r="P81" s="514" t="s">
        <v>40</v>
      </c>
      <c r="Q81" s="514" t="s">
        <v>228</v>
      </c>
      <c r="R81" s="514" t="s">
        <v>379</v>
      </c>
      <c r="S81" s="514" t="s">
        <v>99</v>
      </c>
      <c r="T81" s="519">
        <v>1</v>
      </c>
      <c r="U81" s="520" t="str">
        <f t="shared" si="56"/>
        <v>Gestionar y administrar los procesos de adquisición y actualización del licenciamiento, requerido para el desarrollo de las actividades de la Entidad.</v>
      </c>
      <c r="V81" s="521">
        <f t="shared" si="57"/>
        <v>1024732093</v>
      </c>
      <c r="W81" s="522" t="s">
        <v>114</v>
      </c>
      <c r="X81" s="517">
        <v>0</v>
      </c>
      <c r="Y81" s="522" t="s">
        <v>284</v>
      </c>
      <c r="Z81" s="518">
        <v>0</v>
      </c>
      <c r="AA81" s="559">
        <v>0</v>
      </c>
      <c r="AB81" s="611">
        <v>0</v>
      </c>
      <c r="AC81" s="523" t="e">
        <f t="shared" si="35"/>
        <v>#DIV/0!</v>
      </c>
      <c r="AD81" s="523" t="e">
        <f t="shared" si="36"/>
        <v>#DIV/0!</v>
      </c>
      <c r="AE81" s="523">
        <f t="shared" si="37"/>
        <v>0</v>
      </c>
      <c r="AF81" s="523">
        <f>+(AB81/V81)</f>
        <v>0</v>
      </c>
      <c r="AG81" s="528" t="s">
        <v>1024</v>
      </c>
      <c r="AH81" s="517">
        <v>0.10208131541362782</v>
      </c>
      <c r="AI81" s="522" t="s">
        <v>284</v>
      </c>
      <c r="AJ81" s="518">
        <v>104606000</v>
      </c>
      <c r="AK81" s="524"/>
      <c r="AL81" s="524"/>
      <c r="AM81" s="523">
        <f t="shared" si="39"/>
        <v>0</v>
      </c>
      <c r="AN81" s="523">
        <f t="shared" si="40"/>
        <v>0</v>
      </c>
      <c r="AO81" s="523">
        <f t="shared" si="41"/>
        <v>0</v>
      </c>
      <c r="AP81" s="523">
        <f t="shared" si="42"/>
        <v>0</v>
      </c>
      <c r="AQ81" s="523"/>
      <c r="AR81" s="517">
        <v>0.33293564174533957</v>
      </c>
      <c r="AS81" s="522" t="s">
        <v>284</v>
      </c>
      <c r="AT81" s="518">
        <v>341169837</v>
      </c>
      <c r="AU81" s="524"/>
      <c r="AV81" s="524"/>
      <c r="AW81" s="523">
        <f t="shared" si="43"/>
        <v>0</v>
      </c>
      <c r="AX81" s="523">
        <f t="shared" si="44"/>
        <v>0</v>
      </c>
      <c r="AY81" s="523">
        <f t="shared" si="45"/>
        <v>0</v>
      </c>
      <c r="AZ81" s="523">
        <f t="shared" si="46"/>
        <v>0</v>
      </c>
      <c r="BA81" s="523"/>
      <c r="BB81" s="517">
        <v>0.56498304284103262</v>
      </c>
      <c r="BC81" s="522" t="s">
        <v>284</v>
      </c>
      <c r="BD81" s="518">
        <v>578956256</v>
      </c>
      <c r="BE81" s="524"/>
      <c r="BF81" s="524"/>
      <c r="BG81" s="517">
        <f t="shared" si="58"/>
        <v>0</v>
      </c>
      <c r="BH81" s="517">
        <f t="shared" si="59"/>
        <v>0</v>
      </c>
      <c r="BI81" s="517">
        <f t="shared" si="60"/>
        <v>0</v>
      </c>
      <c r="BJ81" s="517">
        <f t="shared" si="61"/>
        <v>0</v>
      </c>
      <c r="BK81" s="517"/>
      <c r="BL81" s="580" t="str">
        <f t="shared" si="47"/>
        <v>No Prog ni Ejec</v>
      </c>
      <c r="BM81" s="580" t="str">
        <f t="shared" si="48"/>
        <v>No Prog ni Ejec</v>
      </c>
      <c r="BN81" s="580">
        <f t="shared" si="49"/>
        <v>0</v>
      </c>
      <c r="BO81" s="580">
        <f t="shared" si="50"/>
        <v>0</v>
      </c>
      <c r="BP81" s="580">
        <f t="shared" si="51"/>
        <v>0</v>
      </c>
      <c r="BQ81" s="580">
        <f t="shared" si="52"/>
        <v>0</v>
      </c>
      <c r="BR81" s="580">
        <f t="shared" si="53"/>
        <v>0</v>
      </c>
      <c r="BS81" s="580">
        <f t="shared" si="54"/>
        <v>0</v>
      </c>
      <c r="BT81" s="525">
        <f t="shared" si="55"/>
        <v>0.21305986266207433</v>
      </c>
      <c r="BU81" s="526" t="str">
        <f t="shared" si="62"/>
        <v>Gestionar y administrar los procesos de adquisición y actualización del licenciamiento, requerido para el desarrollo de las actividades de la Entidad.</v>
      </c>
      <c r="BV81" s="527">
        <f t="shared" si="34"/>
        <v>218329279</v>
      </c>
      <c r="BW81" s="524"/>
      <c r="BX81" s="524"/>
      <c r="BY81" s="524"/>
      <c r="BZ81" s="524"/>
      <c r="CA81" s="524"/>
      <c r="CB81" s="524"/>
      <c r="CC81" s="524"/>
    </row>
    <row r="82" spans="1:81" s="457" customFormat="1" ht="51" x14ac:dyDescent="0.25">
      <c r="A82" s="513">
        <v>11600</v>
      </c>
      <c r="B82" s="514" t="s">
        <v>6</v>
      </c>
      <c r="C82" s="515" t="s">
        <v>278</v>
      </c>
      <c r="D82" s="514" t="s">
        <v>147</v>
      </c>
      <c r="E82" s="515" t="s">
        <v>518</v>
      </c>
      <c r="F82" s="514" t="s">
        <v>287</v>
      </c>
      <c r="G82" s="516" t="s">
        <v>123</v>
      </c>
      <c r="H82" s="517">
        <v>1</v>
      </c>
      <c r="I82" s="515" t="s">
        <v>519</v>
      </c>
      <c r="J82" s="514" t="s">
        <v>287</v>
      </c>
      <c r="K82" s="518">
        <v>180000000</v>
      </c>
      <c r="L82" s="519">
        <v>1</v>
      </c>
      <c r="M82" s="514" t="s">
        <v>46</v>
      </c>
      <c r="N82" s="514" t="s">
        <v>73</v>
      </c>
      <c r="O82" s="514" t="s">
        <v>37</v>
      </c>
      <c r="P82" s="514" t="s">
        <v>40</v>
      </c>
      <c r="Q82" s="514" t="s">
        <v>228</v>
      </c>
      <c r="R82" s="514" t="s">
        <v>634</v>
      </c>
      <c r="S82" s="514" t="s">
        <v>99</v>
      </c>
      <c r="T82" s="519">
        <v>1</v>
      </c>
      <c r="U82" s="520" t="str">
        <f t="shared" si="56"/>
        <v>Adquisición de bienes y/o servicios para la seguridad de la información</v>
      </c>
      <c r="V82" s="521">
        <f t="shared" si="57"/>
        <v>180000000</v>
      </c>
      <c r="W82" s="522" t="s">
        <v>114</v>
      </c>
      <c r="X82" s="517">
        <v>0</v>
      </c>
      <c r="Y82" s="522" t="s">
        <v>287</v>
      </c>
      <c r="Z82" s="518">
        <v>0</v>
      </c>
      <c r="AA82" s="559">
        <v>0</v>
      </c>
      <c r="AB82" s="611">
        <v>0</v>
      </c>
      <c r="AC82" s="523" t="e">
        <f t="shared" si="35"/>
        <v>#DIV/0!</v>
      </c>
      <c r="AD82" s="523" t="e">
        <f t="shared" si="36"/>
        <v>#DIV/0!</v>
      </c>
      <c r="AE82" s="523">
        <f t="shared" si="37"/>
        <v>0</v>
      </c>
      <c r="AF82" s="523">
        <f t="shared" si="38"/>
        <v>0</v>
      </c>
      <c r="AG82" s="528" t="s">
        <v>1025</v>
      </c>
      <c r="AH82" s="517">
        <v>0</v>
      </c>
      <c r="AI82" s="522" t="s">
        <v>287</v>
      </c>
      <c r="AJ82" s="518">
        <v>0</v>
      </c>
      <c r="AK82" s="524"/>
      <c r="AL82" s="524"/>
      <c r="AM82" s="523" t="e">
        <f t="shared" si="39"/>
        <v>#DIV/0!</v>
      </c>
      <c r="AN82" s="523" t="e">
        <f t="shared" si="40"/>
        <v>#DIV/0!</v>
      </c>
      <c r="AO82" s="523">
        <f t="shared" si="41"/>
        <v>0</v>
      </c>
      <c r="AP82" s="523">
        <f t="shared" si="42"/>
        <v>0</v>
      </c>
      <c r="AQ82" s="523"/>
      <c r="AR82" s="517">
        <v>0.5</v>
      </c>
      <c r="AS82" s="522" t="s">
        <v>287</v>
      </c>
      <c r="AT82" s="518">
        <v>90000000</v>
      </c>
      <c r="AU82" s="524"/>
      <c r="AV82" s="524"/>
      <c r="AW82" s="523">
        <f t="shared" si="43"/>
        <v>0</v>
      </c>
      <c r="AX82" s="523">
        <f t="shared" si="44"/>
        <v>0</v>
      </c>
      <c r="AY82" s="523">
        <f t="shared" si="45"/>
        <v>0</v>
      </c>
      <c r="AZ82" s="523">
        <f t="shared" si="46"/>
        <v>0</v>
      </c>
      <c r="BA82" s="523"/>
      <c r="BB82" s="517">
        <v>0.5</v>
      </c>
      <c r="BC82" s="522" t="s">
        <v>287</v>
      </c>
      <c r="BD82" s="518">
        <v>90000000</v>
      </c>
      <c r="BE82" s="524"/>
      <c r="BF82" s="524"/>
      <c r="BG82" s="517">
        <f t="shared" si="58"/>
        <v>0</v>
      </c>
      <c r="BH82" s="517">
        <f t="shared" si="59"/>
        <v>0</v>
      </c>
      <c r="BI82" s="517">
        <f t="shared" si="60"/>
        <v>0</v>
      </c>
      <c r="BJ82" s="517">
        <f t="shared" si="61"/>
        <v>0</v>
      </c>
      <c r="BK82" s="517"/>
      <c r="BL82" s="580" t="str">
        <f t="shared" si="47"/>
        <v>No Prog ni Ejec</v>
      </c>
      <c r="BM82" s="580" t="str">
        <f t="shared" si="48"/>
        <v>No Prog ni Ejec</v>
      </c>
      <c r="BN82" s="580" t="str">
        <f t="shared" si="49"/>
        <v>No Prog ni Ejec</v>
      </c>
      <c r="BO82" s="580" t="str">
        <f t="shared" si="50"/>
        <v>No Prog ni Ejec</v>
      </c>
      <c r="BP82" s="580">
        <f t="shared" si="51"/>
        <v>0</v>
      </c>
      <c r="BQ82" s="580">
        <f t="shared" si="52"/>
        <v>0</v>
      </c>
      <c r="BR82" s="580">
        <f t="shared" si="53"/>
        <v>0</v>
      </c>
      <c r="BS82" s="580">
        <f t="shared" si="54"/>
        <v>0</v>
      </c>
      <c r="BT82" s="525">
        <f t="shared" si="55"/>
        <v>0.16666666666666666</v>
      </c>
      <c r="BU82" s="526" t="str">
        <f t="shared" si="62"/>
        <v>Adquisición de bienes y/o servicios para la seguridad de la información</v>
      </c>
      <c r="BV82" s="527">
        <f t="shared" si="34"/>
        <v>30000000</v>
      </c>
      <c r="BW82" s="524"/>
      <c r="BX82" s="524"/>
      <c r="BY82" s="524"/>
      <c r="BZ82" s="524"/>
      <c r="CA82" s="524"/>
      <c r="CB82" s="524"/>
      <c r="CC82" s="524"/>
    </row>
    <row r="83" spans="1:81" s="457" customFormat="1" ht="409.5" x14ac:dyDescent="0.25">
      <c r="A83" s="513">
        <v>11600</v>
      </c>
      <c r="B83" s="514" t="s">
        <v>6</v>
      </c>
      <c r="C83" s="515" t="s">
        <v>278</v>
      </c>
      <c r="D83" s="514" t="s">
        <v>147</v>
      </c>
      <c r="E83" s="515" t="s">
        <v>520</v>
      </c>
      <c r="F83" s="514" t="s">
        <v>562</v>
      </c>
      <c r="G83" s="516" t="s">
        <v>123</v>
      </c>
      <c r="H83" s="517">
        <v>1</v>
      </c>
      <c r="I83" s="515" t="s">
        <v>521</v>
      </c>
      <c r="J83" s="514" t="s">
        <v>635</v>
      </c>
      <c r="K83" s="518">
        <f>815594000+52838618.28</f>
        <v>868432618.27999997</v>
      </c>
      <c r="L83" s="519">
        <v>1</v>
      </c>
      <c r="M83" s="514" t="s">
        <v>46</v>
      </c>
      <c r="N83" s="514" t="s">
        <v>73</v>
      </c>
      <c r="O83" s="514" t="s">
        <v>37</v>
      </c>
      <c r="P83" s="514" t="s">
        <v>40</v>
      </c>
      <c r="Q83" s="514" t="s">
        <v>228</v>
      </c>
      <c r="R83" s="514" t="s">
        <v>636</v>
      </c>
      <c r="S83" s="514" t="s">
        <v>99</v>
      </c>
      <c r="T83" s="519">
        <v>1</v>
      </c>
      <c r="U83" s="520" t="str">
        <f t="shared" si="56"/>
        <v>Implementación de estrategias, instrumentos y herramientas</v>
      </c>
      <c r="V83" s="521">
        <f t="shared" si="57"/>
        <v>868432618.27999997</v>
      </c>
      <c r="W83" s="522" t="s">
        <v>114</v>
      </c>
      <c r="X83" s="517">
        <v>7.0000000000000007E-2</v>
      </c>
      <c r="Y83" s="522" t="s">
        <v>635</v>
      </c>
      <c r="Z83" s="518">
        <f>+V83*X83</f>
        <v>60790283.279600002</v>
      </c>
      <c r="AA83" s="612">
        <f>(AB83/Z83)*0.07</f>
        <v>5.434802770706449E-2</v>
      </c>
      <c r="AB83" s="611">
        <f>7880000+3332000+19992000+15993600</f>
        <v>47197600</v>
      </c>
      <c r="AC83" s="523">
        <f>+(AA83/X83)</f>
        <v>0.77640039581520692</v>
      </c>
      <c r="AD83" s="523">
        <f t="shared" si="36"/>
        <v>0.77640039581520692</v>
      </c>
      <c r="AE83" s="523">
        <f t="shared" si="37"/>
        <v>5.434802770706449E-2</v>
      </c>
      <c r="AF83" s="523">
        <f t="shared" si="38"/>
        <v>5.434802770706449E-2</v>
      </c>
      <c r="AG83" s="528" t="s">
        <v>998</v>
      </c>
      <c r="AH83" s="517">
        <v>0.27</v>
      </c>
      <c r="AI83" s="522" t="s">
        <v>635</v>
      </c>
      <c r="AJ83" s="518">
        <f>+AH83*V83</f>
        <v>234476806.93560001</v>
      </c>
      <c r="AK83" s="560"/>
      <c r="AL83" s="524"/>
      <c r="AM83" s="523">
        <f t="shared" si="39"/>
        <v>0</v>
      </c>
      <c r="AN83" s="523">
        <f t="shared" si="40"/>
        <v>0</v>
      </c>
      <c r="AO83" s="523">
        <f t="shared" si="41"/>
        <v>5.434802770706449E-2</v>
      </c>
      <c r="AP83" s="523">
        <f t="shared" si="42"/>
        <v>5.434802770706449E-2</v>
      </c>
      <c r="AQ83" s="523"/>
      <c r="AR83" s="517">
        <v>0.35</v>
      </c>
      <c r="AS83" s="522" t="s">
        <v>635</v>
      </c>
      <c r="AT83" s="518">
        <f>+AR83*V83</f>
        <v>303951416.39799994</v>
      </c>
      <c r="AU83" s="560"/>
      <c r="AV83" s="524"/>
      <c r="AW83" s="523">
        <f t="shared" si="43"/>
        <v>0</v>
      </c>
      <c r="AX83" s="523">
        <f t="shared" si="44"/>
        <v>0</v>
      </c>
      <c r="AY83" s="523">
        <f t="shared" si="45"/>
        <v>5.434802770706449E-2</v>
      </c>
      <c r="AZ83" s="523">
        <f t="shared" si="46"/>
        <v>5.434802770706449E-2</v>
      </c>
      <c r="BA83" s="523"/>
      <c r="BB83" s="517">
        <v>0.31</v>
      </c>
      <c r="BC83" s="522" t="s">
        <v>635</v>
      </c>
      <c r="BD83" s="518">
        <f>+BB83*V83</f>
        <v>269214111.66679996</v>
      </c>
      <c r="BE83" s="524"/>
      <c r="BF83" s="524"/>
      <c r="BG83" s="517">
        <f t="shared" si="58"/>
        <v>0</v>
      </c>
      <c r="BH83" s="517">
        <f t="shared" si="59"/>
        <v>0</v>
      </c>
      <c r="BI83" s="517">
        <f t="shared" si="60"/>
        <v>5.434802770706449E-2</v>
      </c>
      <c r="BJ83" s="517">
        <f t="shared" si="61"/>
        <v>5.434802770706449E-2</v>
      </c>
      <c r="BK83" s="517"/>
      <c r="BL83" s="580">
        <f t="shared" si="47"/>
        <v>0.77640039581520692</v>
      </c>
      <c r="BM83" s="580">
        <f t="shared" si="48"/>
        <v>0.77640039581520692</v>
      </c>
      <c r="BN83" s="580">
        <f t="shared" si="49"/>
        <v>0</v>
      </c>
      <c r="BO83" s="580">
        <f t="shared" si="50"/>
        <v>0</v>
      </c>
      <c r="BP83" s="580">
        <f t="shared" si="51"/>
        <v>0</v>
      </c>
      <c r="BQ83" s="580">
        <f t="shared" si="52"/>
        <v>0</v>
      </c>
      <c r="BR83" s="580">
        <f t="shared" si="53"/>
        <v>0</v>
      </c>
      <c r="BS83" s="580">
        <f t="shared" si="54"/>
        <v>0</v>
      </c>
      <c r="BT83" s="525">
        <f t="shared" si="55"/>
        <v>0.45666666666666667</v>
      </c>
      <c r="BU83" s="526" t="str">
        <f t="shared" si="62"/>
        <v>Implementación de estrategias, instrumentos y herramientas</v>
      </c>
      <c r="BV83" s="527">
        <f t="shared" si="34"/>
        <v>396584229.01453334</v>
      </c>
      <c r="BW83" s="524"/>
      <c r="BX83" s="524"/>
      <c r="BY83" s="524"/>
      <c r="BZ83" s="524"/>
      <c r="CA83" s="524"/>
      <c r="CB83" s="524"/>
      <c r="CC83" s="524"/>
    </row>
    <row r="84" spans="1:81" s="457" customFormat="1" ht="51" x14ac:dyDescent="0.25">
      <c r="A84" s="513">
        <v>11600</v>
      </c>
      <c r="B84" s="514" t="s">
        <v>6</v>
      </c>
      <c r="C84" s="515" t="s">
        <v>278</v>
      </c>
      <c r="D84" s="514" t="s">
        <v>147</v>
      </c>
      <c r="E84" s="515" t="s">
        <v>515</v>
      </c>
      <c r="F84" s="514" t="s">
        <v>637</v>
      </c>
      <c r="G84" s="516" t="s">
        <v>123</v>
      </c>
      <c r="H84" s="517">
        <v>1</v>
      </c>
      <c r="I84" s="515" t="s">
        <v>522</v>
      </c>
      <c r="J84" s="514" t="s">
        <v>637</v>
      </c>
      <c r="K84" s="518">
        <v>816000000</v>
      </c>
      <c r="L84" s="519">
        <v>1</v>
      </c>
      <c r="M84" s="514" t="s">
        <v>46</v>
      </c>
      <c r="N84" s="514" t="s">
        <v>73</v>
      </c>
      <c r="O84" s="514" t="s">
        <v>37</v>
      </c>
      <c r="P84" s="514" t="s">
        <v>40</v>
      </c>
      <c r="Q84" s="514" t="s">
        <v>228</v>
      </c>
      <c r="R84" s="514" t="s">
        <v>760</v>
      </c>
      <c r="S84" s="514" t="s">
        <v>99</v>
      </c>
      <c r="T84" s="519">
        <v>1</v>
      </c>
      <c r="U84" s="520" t="str">
        <f t="shared" si="56"/>
        <v>Desarrollo de nuevos Sistemas de información</v>
      </c>
      <c r="V84" s="521">
        <f t="shared" si="57"/>
        <v>816000000</v>
      </c>
      <c r="W84" s="522" t="s">
        <v>114</v>
      </c>
      <c r="X84" s="517">
        <v>0</v>
      </c>
      <c r="Y84" s="522" t="s">
        <v>637</v>
      </c>
      <c r="Z84" s="518">
        <v>0</v>
      </c>
      <c r="AA84" s="559">
        <v>0</v>
      </c>
      <c r="AB84" s="611">
        <v>0</v>
      </c>
      <c r="AC84" s="523" t="e">
        <f t="shared" si="35"/>
        <v>#DIV/0!</v>
      </c>
      <c r="AD84" s="523" t="e">
        <f t="shared" si="36"/>
        <v>#DIV/0!</v>
      </c>
      <c r="AE84" s="523">
        <f t="shared" si="37"/>
        <v>0</v>
      </c>
      <c r="AF84" s="523">
        <f t="shared" si="38"/>
        <v>0</v>
      </c>
      <c r="AG84" s="528" t="s">
        <v>1026</v>
      </c>
      <c r="AH84" s="517">
        <v>0</v>
      </c>
      <c r="AI84" s="522" t="s">
        <v>637</v>
      </c>
      <c r="AJ84" s="518">
        <v>0</v>
      </c>
      <c r="AK84" s="524"/>
      <c r="AL84" s="524"/>
      <c r="AM84" s="523" t="e">
        <f t="shared" si="39"/>
        <v>#DIV/0!</v>
      </c>
      <c r="AN84" s="523" t="e">
        <f t="shared" si="40"/>
        <v>#DIV/0!</v>
      </c>
      <c r="AO84" s="523">
        <f t="shared" si="41"/>
        <v>0</v>
      </c>
      <c r="AP84" s="523">
        <f t="shared" si="42"/>
        <v>0</v>
      </c>
      <c r="AQ84" s="523"/>
      <c r="AR84" s="517">
        <v>0.5</v>
      </c>
      <c r="AS84" s="522" t="s">
        <v>637</v>
      </c>
      <c r="AT84" s="518">
        <v>408000000</v>
      </c>
      <c r="AU84" s="524"/>
      <c r="AV84" s="524"/>
      <c r="AW84" s="523">
        <f t="shared" si="43"/>
        <v>0</v>
      </c>
      <c r="AX84" s="523">
        <f t="shared" si="44"/>
        <v>0</v>
      </c>
      <c r="AY84" s="523">
        <f t="shared" si="45"/>
        <v>0</v>
      </c>
      <c r="AZ84" s="523">
        <f t="shared" si="46"/>
        <v>0</v>
      </c>
      <c r="BA84" s="523"/>
      <c r="BB84" s="517">
        <v>0.5</v>
      </c>
      <c r="BC84" s="522" t="s">
        <v>637</v>
      </c>
      <c r="BD84" s="518">
        <v>408000000</v>
      </c>
      <c r="BE84" s="524"/>
      <c r="BF84" s="524"/>
      <c r="BG84" s="517">
        <f t="shared" si="58"/>
        <v>0</v>
      </c>
      <c r="BH84" s="517">
        <f t="shared" si="59"/>
        <v>0</v>
      </c>
      <c r="BI84" s="517">
        <f t="shared" si="60"/>
        <v>0</v>
      </c>
      <c r="BJ84" s="517">
        <f t="shared" si="61"/>
        <v>0</v>
      </c>
      <c r="BK84" s="517"/>
      <c r="BL84" s="580" t="str">
        <f t="shared" si="47"/>
        <v>No Prog ni Ejec</v>
      </c>
      <c r="BM84" s="580" t="str">
        <f t="shared" si="48"/>
        <v>No Prog ni Ejec</v>
      </c>
      <c r="BN84" s="580" t="str">
        <f t="shared" si="49"/>
        <v>No Prog ni Ejec</v>
      </c>
      <c r="BO84" s="580" t="str">
        <f t="shared" si="50"/>
        <v>No Prog ni Ejec</v>
      </c>
      <c r="BP84" s="580">
        <f t="shared" si="51"/>
        <v>0</v>
      </c>
      <c r="BQ84" s="580">
        <f t="shared" si="52"/>
        <v>0</v>
      </c>
      <c r="BR84" s="580">
        <f t="shared" si="53"/>
        <v>0</v>
      </c>
      <c r="BS84" s="580">
        <f t="shared" si="54"/>
        <v>0</v>
      </c>
      <c r="BT84" s="525">
        <f t="shared" si="55"/>
        <v>0.16666666666666666</v>
      </c>
      <c r="BU84" s="526" t="str">
        <f t="shared" si="62"/>
        <v>Desarrollo de nuevos Sistemas de información</v>
      </c>
      <c r="BV84" s="527">
        <f t="shared" si="34"/>
        <v>136000000</v>
      </c>
      <c r="BW84" s="524"/>
      <c r="BX84" s="524"/>
      <c r="BY84" s="524"/>
      <c r="BZ84" s="524"/>
      <c r="CA84" s="524"/>
      <c r="CB84" s="524"/>
      <c r="CC84" s="524"/>
    </row>
    <row r="85" spans="1:81" s="457" customFormat="1" ht="409.5" x14ac:dyDescent="0.25">
      <c r="A85" s="513">
        <v>11600</v>
      </c>
      <c r="B85" s="514" t="s">
        <v>6</v>
      </c>
      <c r="C85" s="515" t="s">
        <v>278</v>
      </c>
      <c r="D85" s="514" t="s">
        <v>147</v>
      </c>
      <c r="E85" s="515" t="s">
        <v>523</v>
      </c>
      <c r="F85" s="514" t="s">
        <v>286</v>
      </c>
      <c r="G85" s="516" t="s">
        <v>123</v>
      </c>
      <c r="H85" s="517">
        <v>1</v>
      </c>
      <c r="I85" s="515" t="s">
        <v>524</v>
      </c>
      <c r="J85" s="514" t="s">
        <v>286</v>
      </c>
      <c r="K85" s="518">
        <v>48960000</v>
      </c>
      <c r="L85" s="519">
        <v>1</v>
      </c>
      <c r="M85" s="514" t="s">
        <v>46</v>
      </c>
      <c r="N85" s="514" t="s">
        <v>73</v>
      </c>
      <c r="O85" s="514" t="s">
        <v>37</v>
      </c>
      <c r="P85" s="514" t="s">
        <v>40</v>
      </c>
      <c r="Q85" s="514" t="s">
        <v>228</v>
      </c>
      <c r="R85" s="514" t="s">
        <v>379</v>
      </c>
      <c r="S85" s="514" t="s">
        <v>99</v>
      </c>
      <c r="T85" s="519">
        <v>1</v>
      </c>
      <c r="U85" s="520" t="str">
        <f t="shared" si="56"/>
        <v>Brindar Soporte a usuario interno</v>
      </c>
      <c r="V85" s="521">
        <f t="shared" si="57"/>
        <v>48960000</v>
      </c>
      <c r="W85" s="522" t="s">
        <v>114</v>
      </c>
      <c r="X85" s="517">
        <v>0.25</v>
      </c>
      <c r="Y85" s="514" t="s">
        <v>286</v>
      </c>
      <c r="Z85" s="518">
        <v>12240000</v>
      </c>
      <c r="AA85" s="612">
        <f>(AB85/Z85)/4</f>
        <v>0.22222222222222221</v>
      </c>
      <c r="AB85" s="611">
        <f>(4080000+2720000+4080000)</f>
        <v>10880000</v>
      </c>
      <c r="AC85" s="523">
        <f t="shared" si="35"/>
        <v>0.88888888888888884</v>
      </c>
      <c r="AD85" s="523">
        <f t="shared" si="36"/>
        <v>0.88888888888888884</v>
      </c>
      <c r="AE85" s="523">
        <f t="shared" si="37"/>
        <v>0.22222222222222221</v>
      </c>
      <c r="AF85" s="523">
        <f t="shared" si="38"/>
        <v>0.22222222222222221</v>
      </c>
      <c r="AG85" s="528" t="s">
        <v>1027</v>
      </c>
      <c r="AH85" s="517">
        <v>0.25</v>
      </c>
      <c r="AI85" s="514" t="s">
        <v>286</v>
      </c>
      <c r="AJ85" s="518">
        <v>12240000</v>
      </c>
      <c r="AK85" s="524"/>
      <c r="AL85" s="524"/>
      <c r="AM85" s="523">
        <f t="shared" si="39"/>
        <v>0</v>
      </c>
      <c r="AN85" s="523">
        <f t="shared" si="40"/>
        <v>0</v>
      </c>
      <c r="AO85" s="523">
        <f t="shared" si="41"/>
        <v>0.22222222222222221</v>
      </c>
      <c r="AP85" s="523">
        <f t="shared" si="42"/>
        <v>0.22222222222222221</v>
      </c>
      <c r="AQ85" s="523"/>
      <c r="AR85" s="517">
        <v>0.25</v>
      </c>
      <c r="AS85" s="514" t="s">
        <v>286</v>
      </c>
      <c r="AT85" s="518">
        <v>12240000</v>
      </c>
      <c r="AU85" s="524"/>
      <c r="AV85" s="524"/>
      <c r="AW85" s="523">
        <f t="shared" si="43"/>
        <v>0</v>
      </c>
      <c r="AX85" s="523">
        <f t="shared" si="44"/>
        <v>0</v>
      </c>
      <c r="AY85" s="523">
        <f t="shared" si="45"/>
        <v>0.22222222222222221</v>
      </c>
      <c r="AZ85" s="523">
        <f t="shared" si="46"/>
        <v>0.22222222222222221</v>
      </c>
      <c r="BA85" s="523"/>
      <c r="BB85" s="517">
        <v>0.25</v>
      </c>
      <c r="BC85" s="514" t="s">
        <v>286</v>
      </c>
      <c r="BD85" s="518">
        <v>12240000</v>
      </c>
      <c r="BE85" s="524"/>
      <c r="BF85" s="524"/>
      <c r="BG85" s="517">
        <f t="shared" si="58"/>
        <v>0</v>
      </c>
      <c r="BH85" s="517">
        <f t="shared" si="59"/>
        <v>0</v>
      </c>
      <c r="BI85" s="517">
        <f t="shared" si="60"/>
        <v>0.22222222222222221</v>
      </c>
      <c r="BJ85" s="517">
        <f t="shared" si="61"/>
        <v>0.22222222222222221</v>
      </c>
      <c r="BK85" s="517"/>
      <c r="BL85" s="580">
        <f t="shared" si="47"/>
        <v>0.88888888888888884</v>
      </c>
      <c r="BM85" s="580">
        <f t="shared" si="48"/>
        <v>0.88888888888888884</v>
      </c>
      <c r="BN85" s="580">
        <f t="shared" si="49"/>
        <v>0</v>
      </c>
      <c r="BO85" s="580">
        <f t="shared" si="50"/>
        <v>0</v>
      </c>
      <c r="BP85" s="580">
        <f t="shared" si="51"/>
        <v>0</v>
      </c>
      <c r="BQ85" s="580">
        <f t="shared" si="52"/>
        <v>0</v>
      </c>
      <c r="BR85" s="580">
        <f t="shared" si="53"/>
        <v>0</v>
      </c>
      <c r="BS85" s="580">
        <f t="shared" si="54"/>
        <v>0</v>
      </c>
      <c r="BT85" s="525">
        <f t="shared" si="55"/>
        <v>0.58333333333333337</v>
      </c>
      <c r="BU85" s="526" t="str">
        <f t="shared" si="62"/>
        <v>Brindar Soporte a usuario interno</v>
      </c>
      <c r="BV85" s="527">
        <f t="shared" si="34"/>
        <v>28560000</v>
      </c>
      <c r="BW85" s="524"/>
      <c r="BX85" s="524"/>
      <c r="BY85" s="524"/>
      <c r="BZ85" s="524"/>
      <c r="CA85" s="524"/>
      <c r="CB85" s="524"/>
      <c r="CC85" s="524"/>
    </row>
    <row r="86" spans="1:81" s="457" customFormat="1" ht="409.5" x14ac:dyDescent="0.25">
      <c r="A86" s="513">
        <v>11600</v>
      </c>
      <c r="B86" s="514" t="s">
        <v>6</v>
      </c>
      <c r="C86" s="515" t="s">
        <v>278</v>
      </c>
      <c r="D86" s="514" t="s">
        <v>147</v>
      </c>
      <c r="E86" s="515" t="s">
        <v>525</v>
      </c>
      <c r="F86" s="514" t="s">
        <v>288</v>
      </c>
      <c r="G86" s="516" t="s">
        <v>123</v>
      </c>
      <c r="H86" s="517">
        <v>1</v>
      </c>
      <c r="I86" s="515" t="s">
        <v>526</v>
      </c>
      <c r="J86" s="514" t="s">
        <v>288</v>
      </c>
      <c r="K86" s="518">
        <v>146880000</v>
      </c>
      <c r="L86" s="519">
        <v>1</v>
      </c>
      <c r="M86" s="514" t="s">
        <v>46</v>
      </c>
      <c r="N86" s="514" t="s">
        <v>73</v>
      </c>
      <c r="O86" s="514" t="s">
        <v>37</v>
      </c>
      <c r="P86" s="514" t="s">
        <v>40</v>
      </c>
      <c r="Q86" s="514" t="s">
        <v>228</v>
      </c>
      <c r="R86" s="514" t="s">
        <v>379</v>
      </c>
      <c r="S86" s="514" t="s">
        <v>99</v>
      </c>
      <c r="T86" s="519">
        <v>1</v>
      </c>
      <c r="U86" s="520" t="str">
        <f t="shared" si="56"/>
        <v>Brindar Soporte al procesos BDUA</v>
      </c>
      <c r="V86" s="521">
        <f t="shared" si="57"/>
        <v>146880000</v>
      </c>
      <c r="W86" s="522" t="s">
        <v>114</v>
      </c>
      <c r="X86" s="517">
        <v>0.25</v>
      </c>
      <c r="Y86" s="522" t="s">
        <v>288</v>
      </c>
      <c r="Z86" s="518">
        <v>36720000</v>
      </c>
      <c r="AA86" s="612">
        <f>(AB86/Z86)/4</f>
        <v>0.22222222222222221</v>
      </c>
      <c r="AB86" s="611">
        <f>(4080000+2720000+4080000)+(4080000+2720000+4080000)+(4080000+2720000+4080000)</f>
        <v>32640000</v>
      </c>
      <c r="AC86" s="523">
        <f t="shared" si="35"/>
        <v>0.88888888888888884</v>
      </c>
      <c r="AD86" s="523">
        <f t="shared" si="36"/>
        <v>0.88888888888888884</v>
      </c>
      <c r="AE86" s="523">
        <f t="shared" si="37"/>
        <v>0.22222222222222221</v>
      </c>
      <c r="AF86" s="523">
        <f t="shared" si="38"/>
        <v>0.22222222222222221</v>
      </c>
      <c r="AG86" s="528" t="s">
        <v>1028</v>
      </c>
      <c r="AH86" s="517">
        <v>0.25</v>
      </c>
      <c r="AI86" s="522" t="s">
        <v>288</v>
      </c>
      <c r="AJ86" s="518">
        <v>36720000</v>
      </c>
      <c r="AK86" s="524"/>
      <c r="AL86" s="524"/>
      <c r="AM86" s="523">
        <f t="shared" si="39"/>
        <v>0</v>
      </c>
      <c r="AN86" s="523">
        <f t="shared" si="40"/>
        <v>0</v>
      </c>
      <c r="AO86" s="523">
        <f t="shared" si="41"/>
        <v>0.22222222222222221</v>
      </c>
      <c r="AP86" s="523">
        <f t="shared" si="42"/>
        <v>0.22222222222222221</v>
      </c>
      <c r="AQ86" s="523"/>
      <c r="AR86" s="517">
        <v>0.25</v>
      </c>
      <c r="AS86" s="522" t="s">
        <v>288</v>
      </c>
      <c r="AT86" s="518">
        <v>36720000</v>
      </c>
      <c r="AU86" s="524"/>
      <c r="AV86" s="524"/>
      <c r="AW86" s="523">
        <f t="shared" si="43"/>
        <v>0</v>
      </c>
      <c r="AX86" s="523">
        <f t="shared" si="44"/>
        <v>0</v>
      </c>
      <c r="AY86" s="523">
        <f t="shared" si="45"/>
        <v>0.22222222222222221</v>
      </c>
      <c r="AZ86" s="523">
        <f t="shared" si="46"/>
        <v>0.22222222222222221</v>
      </c>
      <c r="BA86" s="523"/>
      <c r="BB86" s="517">
        <v>0.25</v>
      </c>
      <c r="BC86" s="522" t="s">
        <v>288</v>
      </c>
      <c r="BD86" s="518">
        <v>36720000</v>
      </c>
      <c r="BE86" s="524"/>
      <c r="BF86" s="524"/>
      <c r="BG86" s="517">
        <f t="shared" si="58"/>
        <v>0</v>
      </c>
      <c r="BH86" s="517">
        <f t="shared" si="59"/>
        <v>0</v>
      </c>
      <c r="BI86" s="517">
        <f t="shared" si="60"/>
        <v>0.22222222222222221</v>
      </c>
      <c r="BJ86" s="517">
        <f t="shared" si="61"/>
        <v>0.22222222222222221</v>
      </c>
      <c r="BK86" s="517"/>
      <c r="BL86" s="580">
        <f t="shared" si="47"/>
        <v>0.88888888888888884</v>
      </c>
      <c r="BM86" s="580">
        <f t="shared" si="48"/>
        <v>0.88888888888888884</v>
      </c>
      <c r="BN86" s="580">
        <f t="shared" si="49"/>
        <v>0</v>
      </c>
      <c r="BO86" s="580">
        <f t="shared" si="50"/>
        <v>0</v>
      </c>
      <c r="BP86" s="580">
        <f t="shared" si="51"/>
        <v>0</v>
      </c>
      <c r="BQ86" s="580">
        <f t="shared" si="52"/>
        <v>0</v>
      </c>
      <c r="BR86" s="580">
        <f t="shared" si="53"/>
        <v>0</v>
      </c>
      <c r="BS86" s="580">
        <f t="shared" si="54"/>
        <v>0</v>
      </c>
      <c r="BT86" s="525">
        <f t="shared" si="55"/>
        <v>0.58333333333333337</v>
      </c>
      <c r="BU86" s="526" t="str">
        <f t="shared" si="62"/>
        <v>Brindar Soporte al procesos BDUA</v>
      </c>
      <c r="BV86" s="527">
        <f t="shared" si="34"/>
        <v>85680000</v>
      </c>
      <c r="BW86" s="524"/>
      <c r="BX86" s="524"/>
      <c r="BY86" s="524"/>
      <c r="BZ86" s="524"/>
      <c r="CA86" s="524"/>
      <c r="CB86" s="524"/>
      <c r="CC86" s="524"/>
    </row>
    <row r="87" spans="1:81" s="457" customFormat="1" ht="409.5" x14ac:dyDescent="0.25">
      <c r="A87" s="513">
        <v>11600</v>
      </c>
      <c r="B87" s="514" t="s">
        <v>6</v>
      </c>
      <c r="C87" s="515" t="s">
        <v>278</v>
      </c>
      <c r="D87" s="514" t="s">
        <v>147</v>
      </c>
      <c r="E87" s="515" t="s">
        <v>527</v>
      </c>
      <c r="F87" s="514" t="s">
        <v>289</v>
      </c>
      <c r="G87" s="516" t="s">
        <v>123</v>
      </c>
      <c r="H87" s="517">
        <v>1</v>
      </c>
      <c r="I87" s="515" t="s">
        <v>528</v>
      </c>
      <c r="J87" s="514" t="s">
        <v>289</v>
      </c>
      <c r="K87" s="518">
        <v>576178068</v>
      </c>
      <c r="L87" s="519">
        <v>1</v>
      </c>
      <c r="M87" s="514" t="s">
        <v>46</v>
      </c>
      <c r="N87" s="514" t="s">
        <v>73</v>
      </c>
      <c r="O87" s="514" t="s">
        <v>37</v>
      </c>
      <c r="P87" s="514" t="s">
        <v>40</v>
      </c>
      <c r="Q87" s="514" t="s">
        <v>228</v>
      </c>
      <c r="R87" s="514" t="s">
        <v>379</v>
      </c>
      <c r="S87" s="514" t="s">
        <v>99</v>
      </c>
      <c r="T87" s="519">
        <v>1</v>
      </c>
      <c r="U87" s="520" t="str">
        <f t="shared" si="56"/>
        <v>Brindar Soporte a los sistemas de información que respaldan los procesos misionales de ADRES</v>
      </c>
      <c r="V87" s="521">
        <f t="shared" si="57"/>
        <v>576178068</v>
      </c>
      <c r="W87" s="522" t="s">
        <v>114</v>
      </c>
      <c r="X87" s="517">
        <v>0.25</v>
      </c>
      <c r="Y87" s="522" t="s">
        <v>289</v>
      </c>
      <c r="Z87" s="518">
        <v>144044517</v>
      </c>
      <c r="AA87" s="612">
        <f>(AB87/Z87)/4</f>
        <v>4.3630629828138479E-2</v>
      </c>
      <c r="AB87" s="611">
        <f>(3339000+2953605+4430407)+(4080000+2720000+4080000)+(0+3536000+0)</f>
        <v>25139012</v>
      </c>
      <c r="AC87" s="523">
        <f t="shared" si="35"/>
        <v>0.17452251931255391</v>
      </c>
      <c r="AD87" s="523">
        <f t="shared" si="36"/>
        <v>0.17452251931255391</v>
      </c>
      <c r="AE87" s="523">
        <f t="shared" si="37"/>
        <v>4.3630629828138479E-2</v>
      </c>
      <c r="AF87" s="523">
        <f t="shared" si="38"/>
        <v>4.3630629828138479E-2</v>
      </c>
      <c r="AG87" s="528" t="s">
        <v>999</v>
      </c>
      <c r="AH87" s="517">
        <v>0.25</v>
      </c>
      <c r="AI87" s="522" t="s">
        <v>289</v>
      </c>
      <c r="AJ87" s="518">
        <v>144044517</v>
      </c>
      <c r="AK87" s="524"/>
      <c r="AL87" s="524"/>
      <c r="AM87" s="523">
        <f t="shared" si="39"/>
        <v>0</v>
      </c>
      <c r="AN87" s="523">
        <f t="shared" si="40"/>
        <v>0</v>
      </c>
      <c r="AO87" s="523">
        <f t="shared" si="41"/>
        <v>4.3630629828138479E-2</v>
      </c>
      <c r="AP87" s="523">
        <f t="shared" si="42"/>
        <v>4.3630629828138479E-2</v>
      </c>
      <c r="AQ87" s="523"/>
      <c r="AR87" s="517">
        <v>0.25</v>
      </c>
      <c r="AS87" s="522" t="s">
        <v>289</v>
      </c>
      <c r="AT87" s="518">
        <v>144044517</v>
      </c>
      <c r="AU87" s="524"/>
      <c r="AV87" s="524"/>
      <c r="AW87" s="523">
        <f t="shared" si="43"/>
        <v>0</v>
      </c>
      <c r="AX87" s="523">
        <f t="shared" si="44"/>
        <v>0</v>
      </c>
      <c r="AY87" s="523">
        <f t="shared" si="45"/>
        <v>4.3630629828138479E-2</v>
      </c>
      <c r="AZ87" s="523">
        <f t="shared" si="46"/>
        <v>4.3630629828138479E-2</v>
      </c>
      <c r="BA87" s="523"/>
      <c r="BB87" s="517">
        <v>0.25</v>
      </c>
      <c r="BC87" s="522" t="s">
        <v>289</v>
      </c>
      <c r="BD87" s="518">
        <v>144044517</v>
      </c>
      <c r="BE87" s="524"/>
      <c r="BF87" s="524"/>
      <c r="BG87" s="517">
        <f t="shared" si="58"/>
        <v>0</v>
      </c>
      <c r="BH87" s="517">
        <f t="shared" si="59"/>
        <v>0</v>
      </c>
      <c r="BI87" s="517">
        <f t="shared" si="60"/>
        <v>4.3630629828138479E-2</v>
      </c>
      <c r="BJ87" s="517">
        <f t="shared" si="61"/>
        <v>4.3630629828138479E-2</v>
      </c>
      <c r="BK87" s="517"/>
      <c r="BL87" s="580">
        <f t="shared" si="47"/>
        <v>0.17452251931255391</v>
      </c>
      <c r="BM87" s="580">
        <f t="shared" si="48"/>
        <v>0.17452251931255391</v>
      </c>
      <c r="BN87" s="580">
        <f t="shared" si="49"/>
        <v>0</v>
      </c>
      <c r="BO87" s="580">
        <f t="shared" si="50"/>
        <v>0</v>
      </c>
      <c r="BP87" s="580">
        <f t="shared" si="51"/>
        <v>0</v>
      </c>
      <c r="BQ87" s="580">
        <f t="shared" si="52"/>
        <v>0</v>
      </c>
      <c r="BR87" s="580">
        <f t="shared" si="53"/>
        <v>0</v>
      </c>
      <c r="BS87" s="580">
        <f t="shared" si="54"/>
        <v>0</v>
      </c>
      <c r="BT87" s="525">
        <f t="shared" si="55"/>
        <v>0.58333333333333337</v>
      </c>
      <c r="BU87" s="526" t="str">
        <f t="shared" si="62"/>
        <v>Brindar Soporte a los sistemas de información que respaldan los procesos misionales de ADRES</v>
      </c>
      <c r="BV87" s="527">
        <f t="shared" si="34"/>
        <v>336103873</v>
      </c>
      <c r="BW87" s="524"/>
      <c r="BX87" s="524"/>
      <c r="BY87" s="524"/>
      <c r="BZ87" s="524"/>
      <c r="CA87" s="524"/>
      <c r="CB87" s="524"/>
      <c r="CC87" s="524"/>
    </row>
    <row r="88" spans="1:81" s="457" customFormat="1" ht="369.75" x14ac:dyDescent="0.25">
      <c r="A88" s="513">
        <v>11600</v>
      </c>
      <c r="B88" s="514" t="s">
        <v>6</v>
      </c>
      <c r="C88" s="515" t="s">
        <v>278</v>
      </c>
      <c r="D88" s="514" t="s">
        <v>147</v>
      </c>
      <c r="E88" s="515" t="s">
        <v>639</v>
      </c>
      <c r="F88" s="514" t="s">
        <v>640</v>
      </c>
      <c r="G88" s="516" t="s">
        <v>123</v>
      </c>
      <c r="H88" s="517">
        <v>1</v>
      </c>
      <c r="I88" s="515" t="s">
        <v>641</v>
      </c>
      <c r="J88" s="514" t="s">
        <v>642</v>
      </c>
      <c r="K88" s="518">
        <f>737488220+52499230+56156100</f>
        <v>846143550</v>
      </c>
      <c r="L88" s="519">
        <v>1</v>
      </c>
      <c r="M88" s="514" t="s">
        <v>46</v>
      </c>
      <c r="N88" s="514" t="s">
        <v>73</v>
      </c>
      <c r="O88" s="514" t="s">
        <v>37</v>
      </c>
      <c r="P88" s="514" t="s">
        <v>40</v>
      </c>
      <c r="Q88" s="514" t="s">
        <v>228</v>
      </c>
      <c r="R88" s="514" t="s">
        <v>634</v>
      </c>
      <c r="S88" s="514" t="s">
        <v>99</v>
      </c>
      <c r="T88" s="519">
        <v>1</v>
      </c>
      <c r="U88" s="520" t="str">
        <f t="shared" si="56"/>
        <v>Suministro de Equipos de Computo a la ADRES</v>
      </c>
      <c r="V88" s="521">
        <f t="shared" si="57"/>
        <v>846143550</v>
      </c>
      <c r="W88" s="522" t="s">
        <v>114</v>
      </c>
      <c r="X88" s="517">
        <v>0.25</v>
      </c>
      <c r="Y88" s="522" t="s">
        <v>642</v>
      </c>
      <c r="Z88" s="518">
        <f>+K88*X88</f>
        <v>211535887.5</v>
      </c>
      <c r="AA88" s="612">
        <f>(AB88/Z88)/4</f>
        <v>0.12409059904788024</v>
      </c>
      <c r="AB88" s="611">
        <f>(52499230*2)</f>
        <v>104998460</v>
      </c>
      <c r="AC88" s="523">
        <f t="shared" si="35"/>
        <v>0.49636239619152095</v>
      </c>
      <c r="AD88" s="523">
        <f t="shared" si="36"/>
        <v>0.49636239619152095</v>
      </c>
      <c r="AE88" s="523">
        <f t="shared" si="37"/>
        <v>0.12409059904788024</v>
      </c>
      <c r="AF88" s="523">
        <f t="shared" si="38"/>
        <v>0.12409059904788024</v>
      </c>
      <c r="AG88" s="528" t="s">
        <v>1029</v>
      </c>
      <c r="AH88" s="517">
        <v>0.25</v>
      </c>
      <c r="AI88" s="522" t="s">
        <v>642</v>
      </c>
      <c r="AJ88" s="518">
        <v>211535887.5</v>
      </c>
      <c r="AK88" s="524"/>
      <c r="AL88" s="524"/>
      <c r="AM88" s="523">
        <f t="shared" si="39"/>
        <v>0</v>
      </c>
      <c r="AN88" s="523">
        <f t="shared" si="40"/>
        <v>0</v>
      </c>
      <c r="AO88" s="523">
        <f t="shared" si="41"/>
        <v>0.12409059904788024</v>
      </c>
      <c r="AP88" s="523">
        <f t="shared" si="42"/>
        <v>0.12409059904788024</v>
      </c>
      <c r="AQ88" s="523"/>
      <c r="AR88" s="517">
        <v>0.25</v>
      </c>
      <c r="AS88" s="522" t="s">
        <v>642</v>
      </c>
      <c r="AT88" s="518">
        <v>211535887.5</v>
      </c>
      <c r="AU88" s="524"/>
      <c r="AV88" s="524"/>
      <c r="AW88" s="523">
        <f t="shared" si="43"/>
        <v>0</v>
      </c>
      <c r="AX88" s="523">
        <f t="shared" si="44"/>
        <v>0</v>
      </c>
      <c r="AY88" s="523">
        <f t="shared" si="45"/>
        <v>0.12409059904788024</v>
      </c>
      <c r="AZ88" s="523">
        <f t="shared" si="46"/>
        <v>0.12409059904788024</v>
      </c>
      <c r="BA88" s="523"/>
      <c r="BB88" s="517">
        <v>0.25</v>
      </c>
      <c r="BC88" s="522" t="s">
        <v>642</v>
      </c>
      <c r="BD88" s="518">
        <v>211535887.5</v>
      </c>
      <c r="BE88" s="524"/>
      <c r="BF88" s="524"/>
      <c r="BG88" s="517">
        <f t="shared" si="58"/>
        <v>0</v>
      </c>
      <c r="BH88" s="517">
        <f t="shared" si="59"/>
        <v>0</v>
      </c>
      <c r="BI88" s="517">
        <f t="shared" si="60"/>
        <v>0.12409059904788024</v>
      </c>
      <c r="BJ88" s="517">
        <f t="shared" si="61"/>
        <v>0.12409059904788024</v>
      </c>
      <c r="BK88" s="517"/>
      <c r="BL88" s="580">
        <f t="shared" si="47"/>
        <v>0.49636239619152095</v>
      </c>
      <c r="BM88" s="580">
        <f t="shared" si="48"/>
        <v>0.49636239619152095</v>
      </c>
      <c r="BN88" s="580">
        <f t="shared" si="49"/>
        <v>0</v>
      </c>
      <c r="BO88" s="580">
        <f t="shared" si="50"/>
        <v>0</v>
      </c>
      <c r="BP88" s="580">
        <f t="shared" si="51"/>
        <v>0</v>
      </c>
      <c r="BQ88" s="580">
        <f t="shared" si="52"/>
        <v>0</v>
      </c>
      <c r="BR88" s="580">
        <f t="shared" si="53"/>
        <v>0</v>
      </c>
      <c r="BS88" s="580">
        <f t="shared" si="54"/>
        <v>0</v>
      </c>
      <c r="BT88" s="525">
        <f t="shared" si="55"/>
        <v>0.58333333333333337</v>
      </c>
      <c r="BU88" s="526" t="str">
        <f t="shared" si="62"/>
        <v>Suministro de Equipos de Computo a la ADRES</v>
      </c>
      <c r="BV88" s="527">
        <f t="shared" si="34"/>
        <v>493583737.5</v>
      </c>
      <c r="BW88" s="524"/>
      <c r="BX88" s="524"/>
      <c r="BY88" s="524"/>
      <c r="BZ88" s="524"/>
      <c r="CA88" s="524"/>
      <c r="CB88" s="524"/>
      <c r="CC88" s="524"/>
    </row>
    <row r="89" spans="1:81" s="457" customFormat="1" ht="51" x14ac:dyDescent="0.25">
      <c r="A89" s="513">
        <v>11700</v>
      </c>
      <c r="B89" s="514" t="s">
        <v>29</v>
      </c>
      <c r="C89" s="515" t="s">
        <v>849</v>
      </c>
      <c r="D89" s="561" t="s">
        <v>153</v>
      </c>
      <c r="E89" s="562" t="s">
        <v>850</v>
      </c>
      <c r="F89" s="561" t="s">
        <v>133</v>
      </c>
      <c r="G89" s="563" t="s">
        <v>124</v>
      </c>
      <c r="H89" s="562">
        <v>4</v>
      </c>
      <c r="I89" s="562" t="s">
        <v>851</v>
      </c>
      <c r="J89" s="561" t="s">
        <v>24</v>
      </c>
      <c r="K89" s="564">
        <v>0</v>
      </c>
      <c r="L89" s="565">
        <v>1</v>
      </c>
      <c r="M89" s="561" t="s">
        <v>51</v>
      </c>
      <c r="N89" s="561" t="s">
        <v>68</v>
      </c>
      <c r="O89" s="561" t="s">
        <v>21</v>
      </c>
      <c r="P89" s="561" t="s">
        <v>36</v>
      </c>
      <c r="Q89" s="561" t="s">
        <v>75</v>
      </c>
      <c r="R89" s="561" t="s">
        <v>631</v>
      </c>
      <c r="S89" s="561" t="s">
        <v>98</v>
      </c>
      <c r="T89" s="562">
        <v>4</v>
      </c>
      <c r="U89" s="561" t="str">
        <f>+J89</f>
        <v>Reportar el cumplimiento del Plan de Acción de la Dependencia</v>
      </c>
      <c r="V89" s="566">
        <f>+K89</f>
        <v>0</v>
      </c>
      <c r="W89" s="567" t="s">
        <v>117</v>
      </c>
      <c r="X89" s="568">
        <v>1</v>
      </c>
      <c r="Y89" s="561" t="s">
        <v>24</v>
      </c>
      <c r="Z89" s="564">
        <v>0</v>
      </c>
      <c r="AA89" s="563">
        <v>1</v>
      </c>
      <c r="AB89" s="614">
        <v>0</v>
      </c>
      <c r="AC89" s="569">
        <f>+(AA89/X89)</f>
        <v>1</v>
      </c>
      <c r="AD89" s="569" t="e">
        <f>+(AB89/Z89)</f>
        <v>#DIV/0!</v>
      </c>
      <c r="AE89" s="569">
        <f>+(AA89/T89)</f>
        <v>0.25</v>
      </c>
      <c r="AF89" s="569" t="e">
        <f>+(AB89/V89)</f>
        <v>#DIV/0!</v>
      </c>
      <c r="AG89" s="569"/>
      <c r="AH89" s="568">
        <v>1</v>
      </c>
      <c r="AI89" s="561" t="s">
        <v>24</v>
      </c>
      <c r="AJ89" s="564">
        <v>0</v>
      </c>
      <c r="AK89" s="570"/>
      <c r="AL89" s="570"/>
      <c r="AM89" s="569">
        <f>+(AK89/AH89)</f>
        <v>0</v>
      </c>
      <c r="AN89" s="569" t="e">
        <f>+(AL89/AJ89)</f>
        <v>#DIV/0!</v>
      </c>
      <c r="AO89" s="569">
        <f>+(AK89+AA89)/T89</f>
        <v>0.25</v>
      </c>
      <c r="AP89" s="569" t="e">
        <f>+(AL89+AB89)/V89</f>
        <v>#DIV/0!</v>
      </c>
      <c r="AQ89" s="569"/>
      <c r="AR89" s="568">
        <v>1</v>
      </c>
      <c r="AS89" s="561" t="s">
        <v>24</v>
      </c>
      <c r="AT89" s="564">
        <v>0</v>
      </c>
      <c r="AU89" s="570"/>
      <c r="AV89" s="570"/>
      <c r="AW89" s="569">
        <f>+(AU89/AR89)</f>
        <v>0</v>
      </c>
      <c r="AX89" s="569" t="e">
        <f>+(AV89/AT89)</f>
        <v>#DIV/0!</v>
      </c>
      <c r="AY89" s="569">
        <f>+(AK89+AA89+AU89)/T89</f>
        <v>0.25</v>
      </c>
      <c r="AZ89" s="569" t="e">
        <f>+(AL89+AB89+AV89)/V89</f>
        <v>#DIV/0!</v>
      </c>
      <c r="BA89" s="569"/>
      <c r="BB89" s="568">
        <v>1</v>
      </c>
      <c r="BC89" s="561" t="s">
        <v>24</v>
      </c>
      <c r="BD89" s="564">
        <v>0</v>
      </c>
      <c r="BE89" s="570"/>
      <c r="BF89" s="570"/>
      <c r="BG89" s="569">
        <f>+(BE89/BB89)</f>
        <v>0</v>
      </c>
      <c r="BH89" s="569" t="e">
        <f>+(BF89/BD89)</f>
        <v>#DIV/0!</v>
      </c>
      <c r="BI89" s="569">
        <f>+(AK89+AA89+AU89+BE89)/T89</f>
        <v>0.25</v>
      </c>
      <c r="BJ89" s="569" t="e">
        <f>+(AL89+AB89+AV89+BF89)/V89</f>
        <v>#DIV/0!</v>
      </c>
      <c r="BK89" s="569"/>
      <c r="BL89" s="580">
        <f t="shared" ref="BL89" si="63">IF(AND(X89=0,AA89=0),"No Prog ni Ejec",IF(X89=0,CONCATENATE("No Prog, Ejec=  ",AA89),AA89/X89))</f>
        <v>1</v>
      </c>
      <c r="BM89" s="580" t="str">
        <f t="shared" ref="BM89" si="64">IF(AND(Z89=0,AB89=0),"No Prog ni Ejec",IF(Z89=0,CONCATENATE("No Prog, Ejec=  ",AB89),AB89/Z89))</f>
        <v>No Prog ni Ejec</v>
      </c>
      <c r="BN89" s="580">
        <f t="shared" ref="BN89" si="65">IF(AND(AH89=0,AK89=0),"No Prog ni Ejec",IF(AH89=0,CONCATENATE("No Prog, Ejec=  ",AK89),AK89/AH89))</f>
        <v>0</v>
      </c>
      <c r="BO89" s="580" t="str">
        <f t="shared" ref="BO89" si="66">IF(AND(AJ89=0,AL89=0),"No Prog ni Ejec",IF(AJ89=0,CONCATENATE("No Prog, Ejec=  ",AL89),AL89/AJ89))</f>
        <v>No Prog ni Ejec</v>
      </c>
      <c r="BP89" s="580">
        <f t="shared" ref="BP89" si="67">IF(AND(AR89=0,AU89=0),"No Prog ni Ejec",IF(AR89=0,CONCATENATE("No Prog, Ejec=  ",AU89),AU89/AR89))</f>
        <v>0</v>
      </c>
      <c r="BQ89" s="580" t="str">
        <f t="shared" ref="BQ89" si="68">IF(AND(AT89=0,AV89=0),"No Prog ni Ejec",IF(AT89=0,CONCATENATE("No Prog, Ejec=  ",AV89),AV89/AT89))</f>
        <v>No Prog ni Ejec</v>
      </c>
      <c r="BR89" s="580">
        <f t="shared" ref="BR89" si="69">IF(AND(BB89=0,BE89=0),"No Prog ni Ejec",IF(BB89=0,CONCATENATE("No Prog, Ejec=  ",BE89),BE89/BB89))</f>
        <v>0</v>
      </c>
      <c r="BS89" s="580" t="str">
        <f t="shared" ref="BS89" si="70">IF(AND(BD89=0,BF89=0),"No Prog ni Ejec",IF(BD89=0,CONCATENATE("No Prog, Ejec=  ",BF89),BF89/BD89))</f>
        <v>No Prog ni Ejec</v>
      </c>
      <c r="BT89" s="553">
        <f t="shared" si="55"/>
        <v>2.3333333333333335</v>
      </c>
      <c r="BU89" s="526" t="str">
        <f t="shared" si="62"/>
        <v>Reportar el cumplimiento del Plan de Acción de la Dependencia</v>
      </c>
      <c r="BV89" s="527">
        <f t="shared" si="34"/>
        <v>0</v>
      </c>
      <c r="BW89" s="524"/>
      <c r="BX89" s="524"/>
      <c r="BY89" s="524"/>
      <c r="BZ89" s="524"/>
      <c r="CA89" s="524"/>
      <c r="CB89" s="524"/>
      <c r="CC89" s="524"/>
    </row>
    <row r="90" spans="1:81" s="457" customFormat="1" ht="89.25" x14ac:dyDescent="0.25">
      <c r="A90" s="513">
        <v>11700</v>
      </c>
      <c r="B90" s="514" t="s">
        <v>29</v>
      </c>
      <c r="C90" s="515" t="s">
        <v>328</v>
      </c>
      <c r="D90" s="514" t="s">
        <v>256</v>
      </c>
      <c r="E90" s="515" t="s">
        <v>329</v>
      </c>
      <c r="F90" s="514" t="s">
        <v>159</v>
      </c>
      <c r="G90" s="516" t="s">
        <v>123</v>
      </c>
      <c r="H90" s="517">
        <v>1</v>
      </c>
      <c r="I90" s="515" t="s">
        <v>331</v>
      </c>
      <c r="J90" s="514" t="s">
        <v>156</v>
      </c>
      <c r="K90" s="518">
        <v>0</v>
      </c>
      <c r="L90" s="519">
        <v>1</v>
      </c>
      <c r="M90" s="514" t="s">
        <v>51</v>
      </c>
      <c r="N90" s="514" t="s">
        <v>68</v>
      </c>
      <c r="O90" s="514" t="s">
        <v>21</v>
      </c>
      <c r="P90" s="514" t="s">
        <v>36</v>
      </c>
      <c r="Q90" s="514" t="s">
        <v>75</v>
      </c>
      <c r="R90" s="514" t="s">
        <v>672</v>
      </c>
      <c r="S90" s="514" t="s">
        <v>98</v>
      </c>
      <c r="T90" s="519">
        <v>1</v>
      </c>
      <c r="U90" s="520" t="str">
        <f t="shared" si="56"/>
        <v>Formular los proceso y procedimientos en el marco del MIPG</v>
      </c>
      <c r="V90" s="521">
        <f t="shared" si="57"/>
        <v>0</v>
      </c>
      <c r="W90" s="522" t="s">
        <v>117</v>
      </c>
      <c r="X90" s="517">
        <v>0.15</v>
      </c>
      <c r="Y90" s="522" t="s">
        <v>156</v>
      </c>
      <c r="Z90" s="518">
        <v>0</v>
      </c>
      <c r="AA90" s="615">
        <f>(9/9)*X90</f>
        <v>0.15</v>
      </c>
      <c r="AB90" s="527">
        <v>0</v>
      </c>
      <c r="AC90" s="523">
        <f t="shared" si="35"/>
        <v>1</v>
      </c>
      <c r="AD90" s="523" t="e">
        <f t="shared" si="36"/>
        <v>#DIV/0!</v>
      </c>
      <c r="AE90" s="523">
        <f t="shared" si="37"/>
        <v>0.15</v>
      </c>
      <c r="AF90" s="523" t="e">
        <f t="shared" si="38"/>
        <v>#DIV/0!</v>
      </c>
      <c r="AG90" s="523"/>
      <c r="AH90" s="517">
        <v>0.85</v>
      </c>
      <c r="AI90" s="522" t="s">
        <v>156</v>
      </c>
      <c r="AJ90" s="518">
        <v>0</v>
      </c>
      <c r="AK90" s="524"/>
      <c r="AL90" s="524"/>
      <c r="AM90" s="523">
        <f t="shared" si="39"/>
        <v>0</v>
      </c>
      <c r="AN90" s="523" t="e">
        <f t="shared" si="40"/>
        <v>#DIV/0!</v>
      </c>
      <c r="AO90" s="523">
        <f t="shared" si="41"/>
        <v>0.15</v>
      </c>
      <c r="AP90" s="523" t="e">
        <f t="shared" si="42"/>
        <v>#DIV/0!</v>
      </c>
      <c r="AQ90" s="523"/>
      <c r="AR90" s="517">
        <v>0</v>
      </c>
      <c r="AS90" s="522" t="s">
        <v>156</v>
      </c>
      <c r="AT90" s="518">
        <v>0</v>
      </c>
      <c r="AU90" s="524"/>
      <c r="AV90" s="524"/>
      <c r="AW90" s="523" t="e">
        <f t="shared" si="43"/>
        <v>#DIV/0!</v>
      </c>
      <c r="AX90" s="523" t="e">
        <f t="shared" si="44"/>
        <v>#DIV/0!</v>
      </c>
      <c r="AY90" s="523">
        <f t="shared" si="45"/>
        <v>0.15</v>
      </c>
      <c r="AZ90" s="523" t="e">
        <f t="shared" si="46"/>
        <v>#DIV/0!</v>
      </c>
      <c r="BA90" s="523"/>
      <c r="BB90" s="517">
        <v>0</v>
      </c>
      <c r="BC90" s="522" t="s">
        <v>156</v>
      </c>
      <c r="BD90" s="518">
        <v>0</v>
      </c>
      <c r="BE90" s="524"/>
      <c r="BF90" s="524"/>
      <c r="BG90" s="517" t="e">
        <f t="shared" si="58"/>
        <v>#DIV/0!</v>
      </c>
      <c r="BH90" s="517" t="e">
        <f t="shared" si="59"/>
        <v>#DIV/0!</v>
      </c>
      <c r="BI90" s="517">
        <f t="shared" si="60"/>
        <v>0.15</v>
      </c>
      <c r="BJ90" s="517" t="e">
        <f t="shared" si="61"/>
        <v>#DIV/0!</v>
      </c>
      <c r="BK90" s="517"/>
      <c r="BL90" s="580">
        <f t="shared" si="47"/>
        <v>1</v>
      </c>
      <c r="BM90" s="580" t="str">
        <f t="shared" si="48"/>
        <v>No Prog ni Ejec</v>
      </c>
      <c r="BN90" s="580">
        <f t="shared" si="49"/>
        <v>0</v>
      </c>
      <c r="BO90" s="580" t="str">
        <f t="shared" si="50"/>
        <v>No Prog ni Ejec</v>
      </c>
      <c r="BP90" s="580" t="str">
        <f t="shared" si="51"/>
        <v>No Prog ni Ejec</v>
      </c>
      <c r="BQ90" s="580" t="str">
        <f t="shared" si="52"/>
        <v>No Prog ni Ejec</v>
      </c>
      <c r="BR90" s="580" t="str">
        <f t="shared" si="53"/>
        <v>No Prog ni Ejec</v>
      </c>
      <c r="BS90" s="580" t="str">
        <f t="shared" si="54"/>
        <v>No Prog ni Ejec</v>
      </c>
      <c r="BT90" s="525">
        <f t="shared" si="55"/>
        <v>1</v>
      </c>
      <c r="BU90" s="526" t="str">
        <f t="shared" si="62"/>
        <v>Formular los proceso y procedimientos en el marco del MIPG</v>
      </c>
      <c r="BV90" s="527">
        <f t="shared" si="34"/>
        <v>0</v>
      </c>
      <c r="BW90" s="524"/>
      <c r="BX90" s="524"/>
      <c r="BY90" s="524"/>
      <c r="BZ90" s="524"/>
      <c r="CA90" s="524"/>
      <c r="CB90" s="524"/>
      <c r="CC90" s="524"/>
    </row>
    <row r="91" spans="1:81" s="457" customFormat="1" ht="89.25" x14ac:dyDescent="0.25">
      <c r="A91" s="513">
        <v>11700</v>
      </c>
      <c r="B91" s="514" t="s">
        <v>29</v>
      </c>
      <c r="C91" s="515" t="s">
        <v>328</v>
      </c>
      <c r="D91" s="514" t="s">
        <v>256</v>
      </c>
      <c r="E91" s="515" t="s">
        <v>330</v>
      </c>
      <c r="F91" s="514" t="s">
        <v>127</v>
      </c>
      <c r="G91" s="516" t="s">
        <v>123</v>
      </c>
      <c r="H91" s="519">
        <v>1</v>
      </c>
      <c r="I91" s="515" t="s">
        <v>332</v>
      </c>
      <c r="J91" s="514" t="s">
        <v>128</v>
      </c>
      <c r="K91" s="518">
        <v>0</v>
      </c>
      <c r="L91" s="519">
        <v>1</v>
      </c>
      <c r="M91" s="514" t="s">
        <v>51</v>
      </c>
      <c r="N91" s="514" t="s">
        <v>68</v>
      </c>
      <c r="O91" s="514" t="s">
        <v>21</v>
      </c>
      <c r="P91" s="514" t="s">
        <v>36</v>
      </c>
      <c r="Q91" s="514" t="s">
        <v>75</v>
      </c>
      <c r="R91" s="514" t="s">
        <v>570</v>
      </c>
      <c r="S91" s="514" t="s">
        <v>98</v>
      </c>
      <c r="T91" s="519">
        <v>1</v>
      </c>
      <c r="U91" s="520" t="str">
        <f t="shared" si="56"/>
        <v>Remitir informes trimestrales de los indicadores formulados y las acciones de mejoras</v>
      </c>
      <c r="V91" s="521">
        <f t="shared" si="57"/>
        <v>0</v>
      </c>
      <c r="W91" s="522" t="s">
        <v>117</v>
      </c>
      <c r="X91" s="517">
        <v>0</v>
      </c>
      <c r="Y91" s="522" t="s">
        <v>128</v>
      </c>
      <c r="Z91" s="518">
        <v>0</v>
      </c>
      <c r="AA91" s="616">
        <v>0</v>
      </c>
      <c r="AB91" s="527">
        <v>0</v>
      </c>
      <c r="AC91" s="523" t="e">
        <f t="shared" si="35"/>
        <v>#DIV/0!</v>
      </c>
      <c r="AD91" s="523" t="e">
        <f t="shared" si="36"/>
        <v>#DIV/0!</v>
      </c>
      <c r="AE91" s="523">
        <f t="shared" si="37"/>
        <v>0</v>
      </c>
      <c r="AF91" s="523" t="e">
        <f t="shared" si="38"/>
        <v>#DIV/0!</v>
      </c>
      <c r="AG91" s="523"/>
      <c r="AH91" s="517">
        <v>0</v>
      </c>
      <c r="AI91" s="522" t="s">
        <v>128</v>
      </c>
      <c r="AJ91" s="518">
        <v>0</v>
      </c>
      <c r="AK91" s="524"/>
      <c r="AL91" s="524"/>
      <c r="AM91" s="523" t="e">
        <f t="shared" si="39"/>
        <v>#DIV/0!</v>
      </c>
      <c r="AN91" s="523" t="e">
        <f t="shared" si="40"/>
        <v>#DIV/0!</v>
      </c>
      <c r="AO91" s="523">
        <f t="shared" si="41"/>
        <v>0</v>
      </c>
      <c r="AP91" s="523" t="e">
        <f t="shared" si="42"/>
        <v>#DIV/0!</v>
      </c>
      <c r="AQ91" s="523"/>
      <c r="AR91" s="517">
        <v>0</v>
      </c>
      <c r="AS91" s="522" t="s">
        <v>128</v>
      </c>
      <c r="AT91" s="518">
        <v>0</v>
      </c>
      <c r="AU91" s="524"/>
      <c r="AV91" s="524"/>
      <c r="AW91" s="523" t="e">
        <f t="shared" si="43"/>
        <v>#DIV/0!</v>
      </c>
      <c r="AX91" s="523" t="e">
        <f t="shared" si="44"/>
        <v>#DIV/0!</v>
      </c>
      <c r="AY91" s="523">
        <f t="shared" si="45"/>
        <v>0</v>
      </c>
      <c r="AZ91" s="523" t="e">
        <f t="shared" si="46"/>
        <v>#DIV/0!</v>
      </c>
      <c r="BA91" s="523"/>
      <c r="BB91" s="517">
        <v>1</v>
      </c>
      <c r="BC91" s="522" t="s">
        <v>128</v>
      </c>
      <c r="BD91" s="518">
        <v>0</v>
      </c>
      <c r="BE91" s="524"/>
      <c r="BF91" s="524"/>
      <c r="BG91" s="517">
        <f t="shared" si="58"/>
        <v>0</v>
      </c>
      <c r="BH91" s="517" t="e">
        <f t="shared" si="59"/>
        <v>#DIV/0!</v>
      </c>
      <c r="BI91" s="517">
        <f t="shared" si="60"/>
        <v>0</v>
      </c>
      <c r="BJ91" s="517" t="e">
        <f t="shared" si="61"/>
        <v>#DIV/0!</v>
      </c>
      <c r="BK91" s="517"/>
      <c r="BL91" s="580" t="str">
        <f t="shared" si="47"/>
        <v>No Prog ni Ejec</v>
      </c>
      <c r="BM91" s="580" t="str">
        <f t="shared" si="48"/>
        <v>No Prog ni Ejec</v>
      </c>
      <c r="BN91" s="580" t="str">
        <f t="shared" si="49"/>
        <v>No Prog ni Ejec</v>
      </c>
      <c r="BO91" s="580" t="str">
        <f t="shared" si="50"/>
        <v>No Prog ni Ejec</v>
      </c>
      <c r="BP91" s="580" t="str">
        <f t="shared" si="51"/>
        <v>No Prog ni Ejec</v>
      </c>
      <c r="BQ91" s="580" t="str">
        <f t="shared" si="52"/>
        <v>No Prog ni Ejec</v>
      </c>
      <c r="BR91" s="580">
        <f t="shared" si="53"/>
        <v>0</v>
      </c>
      <c r="BS91" s="580" t="str">
        <f t="shared" si="54"/>
        <v>No Prog ni Ejec</v>
      </c>
      <c r="BT91" s="525">
        <f t="shared" si="55"/>
        <v>0</v>
      </c>
      <c r="BU91" s="526" t="str">
        <f t="shared" si="62"/>
        <v>Remitir informes trimestrales de los indicadores formulados y las acciones de mejoras</v>
      </c>
      <c r="BV91" s="527">
        <f t="shared" si="34"/>
        <v>0</v>
      </c>
      <c r="BW91" s="524"/>
      <c r="BX91" s="524"/>
      <c r="BY91" s="524"/>
      <c r="BZ91" s="524"/>
      <c r="CA91" s="524"/>
      <c r="CB91" s="524"/>
      <c r="CC91" s="524"/>
    </row>
    <row r="92" spans="1:81" s="457" customFormat="1" ht="127.5" x14ac:dyDescent="0.25">
      <c r="A92" s="513">
        <v>11700</v>
      </c>
      <c r="B92" s="514" t="s">
        <v>29</v>
      </c>
      <c r="C92" s="515" t="s">
        <v>328</v>
      </c>
      <c r="D92" s="514" t="s">
        <v>256</v>
      </c>
      <c r="E92" s="515" t="s">
        <v>376</v>
      </c>
      <c r="F92" s="514" t="s">
        <v>380</v>
      </c>
      <c r="G92" s="516" t="s">
        <v>123</v>
      </c>
      <c r="H92" s="517">
        <v>1</v>
      </c>
      <c r="I92" s="515" t="s">
        <v>377</v>
      </c>
      <c r="J92" s="514" t="s">
        <v>945</v>
      </c>
      <c r="K92" s="518">
        <f>27749428000+2002739+19031</f>
        <v>27751449770</v>
      </c>
      <c r="L92" s="519">
        <v>1</v>
      </c>
      <c r="M92" s="514" t="s">
        <v>46</v>
      </c>
      <c r="N92" s="514" t="s">
        <v>68</v>
      </c>
      <c r="O92" s="514" t="s">
        <v>37</v>
      </c>
      <c r="P92" s="514" t="s">
        <v>38</v>
      </c>
      <c r="Q92" s="514" t="s">
        <v>219</v>
      </c>
      <c r="R92" s="514" t="s">
        <v>182</v>
      </c>
      <c r="S92" s="514" t="s">
        <v>99</v>
      </c>
      <c r="T92" s="519">
        <v>1</v>
      </c>
      <c r="U92" s="514" t="s">
        <v>945</v>
      </c>
      <c r="V92" s="521">
        <f t="shared" si="57"/>
        <v>27751449770</v>
      </c>
      <c r="W92" s="522" t="s">
        <v>114</v>
      </c>
      <c r="X92" s="517">
        <v>0.25</v>
      </c>
      <c r="Y92" s="522" t="str">
        <f>+U92</f>
        <v>Efectuar los pagos de nomina de los funcionarios de la ADRES</v>
      </c>
      <c r="Z92" s="518">
        <f>+K92*X92</f>
        <v>6937862442.5</v>
      </c>
      <c r="AA92" s="606">
        <f>AB92/V92</f>
        <v>0.14934145290961495</v>
      </c>
      <c r="AB92" s="518">
        <v>4144441829</v>
      </c>
      <c r="AC92" s="523">
        <f>+(AA92/X92)</f>
        <v>0.59736581163845981</v>
      </c>
      <c r="AD92" s="523">
        <f t="shared" si="36"/>
        <v>0.59736581163845981</v>
      </c>
      <c r="AE92" s="523">
        <f t="shared" si="37"/>
        <v>0.14934145290961495</v>
      </c>
      <c r="AF92" s="523">
        <f t="shared" si="38"/>
        <v>0.14934145290961495</v>
      </c>
      <c r="AG92" s="528" t="s">
        <v>1000</v>
      </c>
      <c r="AH92" s="517">
        <v>0.25</v>
      </c>
      <c r="AI92" s="522" t="str">
        <f>+U92</f>
        <v>Efectuar los pagos de nomina de los funcionarios de la ADRES</v>
      </c>
      <c r="AJ92" s="518">
        <v>6937862442.5</v>
      </c>
      <c r="AK92" s="524"/>
      <c r="AL92" s="524"/>
      <c r="AM92" s="523">
        <f t="shared" si="39"/>
        <v>0</v>
      </c>
      <c r="AN92" s="523">
        <f t="shared" si="40"/>
        <v>0</v>
      </c>
      <c r="AO92" s="523">
        <f t="shared" si="41"/>
        <v>0.14934145290961495</v>
      </c>
      <c r="AP92" s="523">
        <f t="shared" si="42"/>
        <v>0.14934145290961495</v>
      </c>
      <c r="AQ92" s="523"/>
      <c r="AR92" s="517">
        <v>0.25</v>
      </c>
      <c r="AS92" s="522" t="str">
        <f>+U92</f>
        <v>Efectuar los pagos de nomina de los funcionarios de la ADRES</v>
      </c>
      <c r="AT92" s="518">
        <v>6937862442.5</v>
      </c>
      <c r="AU92" s="524"/>
      <c r="AV92" s="524"/>
      <c r="AW92" s="523">
        <f t="shared" si="43"/>
        <v>0</v>
      </c>
      <c r="AX92" s="523">
        <f t="shared" si="44"/>
        <v>0</v>
      </c>
      <c r="AY92" s="523">
        <f t="shared" si="45"/>
        <v>0.14934145290961495</v>
      </c>
      <c r="AZ92" s="523">
        <f t="shared" si="46"/>
        <v>0.14934145290961495</v>
      </c>
      <c r="BA92" s="523"/>
      <c r="BB92" s="517">
        <v>0.25</v>
      </c>
      <c r="BC92" s="522" t="str">
        <f>+Y92</f>
        <v>Efectuar los pagos de nomina de los funcionarios de la ADRES</v>
      </c>
      <c r="BD92" s="518">
        <v>6937862442.5</v>
      </c>
      <c r="BE92" s="524"/>
      <c r="BF92" s="524"/>
      <c r="BG92" s="517">
        <f t="shared" si="58"/>
        <v>0</v>
      </c>
      <c r="BH92" s="517">
        <f t="shared" si="59"/>
        <v>0</v>
      </c>
      <c r="BI92" s="517">
        <f t="shared" si="60"/>
        <v>0.14934145290961495</v>
      </c>
      <c r="BJ92" s="517">
        <f t="shared" si="61"/>
        <v>0.14934145290961495</v>
      </c>
      <c r="BK92" s="517"/>
      <c r="BL92" s="580">
        <f>IF(AND(X92=0,AA92=0),"No Prog ni Ejec",IF(X92=0,CONCATENATE("No Prog, Ejec=  ",AA92),AA92/X92))</f>
        <v>0.59736581163845981</v>
      </c>
      <c r="BM92" s="580">
        <f t="shared" si="48"/>
        <v>0.59736581163845981</v>
      </c>
      <c r="BN92" s="580">
        <f t="shared" si="49"/>
        <v>0</v>
      </c>
      <c r="BO92" s="580">
        <f t="shared" si="50"/>
        <v>0</v>
      </c>
      <c r="BP92" s="580">
        <f t="shared" si="51"/>
        <v>0</v>
      </c>
      <c r="BQ92" s="580">
        <f t="shared" si="52"/>
        <v>0</v>
      </c>
      <c r="BR92" s="580">
        <f t="shared" si="53"/>
        <v>0</v>
      </c>
      <c r="BS92" s="580">
        <f t="shared" si="54"/>
        <v>0</v>
      </c>
      <c r="BT92" s="525">
        <f t="shared" si="55"/>
        <v>0.58333333333333337</v>
      </c>
      <c r="BU92" s="526" t="str">
        <f t="shared" si="62"/>
        <v>Efectuar los pagos de nomina de los funcionarios de la ADRES</v>
      </c>
      <c r="BV92" s="527">
        <f t="shared" si="34"/>
        <v>16188345699.166666</v>
      </c>
      <c r="BW92" s="524"/>
      <c r="BX92" s="524"/>
      <c r="BY92" s="524"/>
      <c r="BZ92" s="524"/>
      <c r="CA92" s="524"/>
      <c r="CB92" s="524"/>
      <c r="CC92" s="524"/>
    </row>
    <row r="93" spans="1:81" s="457" customFormat="1" ht="89.25" x14ac:dyDescent="0.25">
      <c r="A93" s="513">
        <v>11700</v>
      </c>
      <c r="B93" s="514" t="s">
        <v>29</v>
      </c>
      <c r="C93" s="515" t="s">
        <v>328</v>
      </c>
      <c r="D93" s="514" t="s">
        <v>256</v>
      </c>
      <c r="E93" s="515" t="s">
        <v>330</v>
      </c>
      <c r="F93" s="514" t="s">
        <v>380</v>
      </c>
      <c r="G93" s="516" t="s">
        <v>123</v>
      </c>
      <c r="H93" s="517">
        <v>1</v>
      </c>
      <c r="I93" s="515" t="s">
        <v>751</v>
      </c>
      <c r="J93" s="514" t="s">
        <v>991</v>
      </c>
      <c r="K93" s="518">
        <v>1000000000</v>
      </c>
      <c r="L93" s="519">
        <v>1</v>
      </c>
      <c r="M93" s="514" t="s">
        <v>46</v>
      </c>
      <c r="N93" s="514" t="s">
        <v>68</v>
      </c>
      <c r="O93" s="514" t="s">
        <v>37</v>
      </c>
      <c r="P93" s="514" t="s">
        <v>38</v>
      </c>
      <c r="Q93" s="514" t="s">
        <v>219</v>
      </c>
      <c r="R93" s="514" t="s">
        <v>379</v>
      </c>
      <c r="S93" s="514" t="s">
        <v>99</v>
      </c>
      <c r="T93" s="519">
        <v>1</v>
      </c>
      <c r="U93" s="520" t="str">
        <f t="shared" si="56"/>
        <v>Efectuar el pago de las sentencias y conciliaciones de la ADRES de acuerdo con las solicitudes de la Oficina Asesora Jurídica</v>
      </c>
      <c r="V93" s="521">
        <f t="shared" si="57"/>
        <v>1000000000</v>
      </c>
      <c r="W93" s="522" t="s">
        <v>114</v>
      </c>
      <c r="X93" s="517">
        <v>0.25</v>
      </c>
      <c r="Y93" s="520" t="str">
        <f>+U93</f>
        <v>Efectuar el pago de las sentencias y conciliaciones de la ADRES de acuerdo con las solicitudes de la Oficina Asesora Jurídica</v>
      </c>
      <c r="Z93" s="518">
        <f>+X93*V93</f>
        <v>250000000</v>
      </c>
      <c r="AA93" s="606">
        <f>AB93/V93</f>
        <v>0</v>
      </c>
      <c r="AB93" s="518">
        <v>0</v>
      </c>
      <c r="AC93" s="523">
        <f t="shared" si="35"/>
        <v>0</v>
      </c>
      <c r="AD93" s="523">
        <f t="shared" si="36"/>
        <v>0</v>
      </c>
      <c r="AE93" s="523">
        <f t="shared" si="37"/>
        <v>0</v>
      </c>
      <c r="AF93" s="523">
        <f t="shared" si="38"/>
        <v>0</v>
      </c>
      <c r="AG93" s="528"/>
      <c r="AH93" s="517">
        <v>0.25</v>
      </c>
      <c r="AI93" s="529" t="str">
        <f>+U93</f>
        <v>Efectuar el pago de las sentencias y conciliaciones de la ADRES de acuerdo con las solicitudes de la Oficina Asesora Jurídica</v>
      </c>
      <c r="AJ93" s="518">
        <v>250000000</v>
      </c>
      <c r="AK93" s="524"/>
      <c r="AL93" s="524"/>
      <c r="AM93" s="523">
        <f t="shared" si="39"/>
        <v>0</v>
      </c>
      <c r="AN93" s="523">
        <f t="shared" si="40"/>
        <v>0</v>
      </c>
      <c r="AO93" s="523">
        <f t="shared" si="41"/>
        <v>0</v>
      </c>
      <c r="AP93" s="523">
        <f t="shared" si="42"/>
        <v>0</v>
      </c>
      <c r="AQ93" s="523"/>
      <c r="AR93" s="517">
        <v>0.25</v>
      </c>
      <c r="AS93" s="529" t="str">
        <f>+U93</f>
        <v>Efectuar el pago de las sentencias y conciliaciones de la ADRES de acuerdo con las solicitudes de la Oficina Asesora Jurídica</v>
      </c>
      <c r="AT93" s="518">
        <v>250000000</v>
      </c>
      <c r="AU93" s="524"/>
      <c r="AV93" s="524"/>
      <c r="AW93" s="523">
        <f t="shared" si="43"/>
        <v>0</v>
      </c>
      <c r="AX93" s="523">
        <f t="shared" si="44"/>
        <v>0</v>
      </c>
      <c r="AY93" s="523">
        <f t="shared" si="45"/>
        <v>0</v>
      </c>
      <c r="AZ93" s="523">
        <f t="shared" si="46"/>
        <v>0</v>
      </c>
      <c r="BA93" s="523"/>
      <c r="BB93" s="517">
        <v>0.25</v>
      </c>
      <c r="BC93" s="529" t="str">
        <f>+U93</f>
        <v>Efectuar el pago de las sentencias y conciliaciones de la ADRES de acuerdo con las solicitudes de la Oficina Asesora Jurídica</v>
      </c>
      <c r="BD93" s="518">
        <v>250000000</v>
      </c>
      <c r="BE93" s="524"/>
      <c r="BF93" s="524"/>
      <c r="BG93" s="517">
        <f t="shared" si="58"/>
        <v>0</v>
      </c>
      <c r="BH93" s="517">
        <f t="shared" si="59"/>
        <v>0</v>
      </c>
      <c r="BI93" s="517">
        <f t="shared" si="60"/>
        <v>0</v>
      </c>
      <c r="BJ93" s="517">
        <f t="shared" si="61"/>
        <v>0</v>
      </c>
      <c r="BK93" s="517"/>
      <c r="BL93" s="580">
        <f t="shared" si="47"/>
        <v>0</v>
      </c>
      <c r="BM93" s="580">
        <f t="shared" si="48"/>
        <v>0</v>
      </c>
      <c r="BN93" s="580">
        <f t="shared" si="49"/>
        <v>0</v>
      </c>
      <c r="BO93" s="580">
        <f t="shared" si="50"/>
        <v>0</v>
      </c>
      <c r="BP93" s="580">
        <f t="shared" si="51"/>
        <v>0</v>
      </c>
      <c r="BQ93" s="580">
        <f t="shared" si="52"/>
        <v>0</v>
      </c>
      <c r="BR93" s="580">
        <f t="shared" si="53"/>
        <v>0</v>
      </c>
      <c r="BS93" s="580">
        <f t="shared" si="54"/>
        <v>0</v>
      </c>
      <c r="BT93" s="525">
        <f t="shared" si="55"/>
        <v>0.58333333333333337</v>
      </c>
      <c r="BU93" s="526" t="str">
        <f t="shared" si="62"/>
        <v>Efectuar el pago de las sentencias y conciliaciones de la ADRES de acuerdo con las solicitudes de la Oficina Asesora Jurídica</v>
      </c>
      <c r="BV93" s="527">
        <f t="shared" si="34"/>
        <v>583333333.33333337</v>
      </c>
      <c r="BW93" s="524"/>
      <c r="BX93" s="524"/>
      <c r="BY93" s="524"/>
      <c r="BZ93" s="524"/>
      <c r="CA93" s="524"/>
      <c r="CB93" s="524"/>
      <c r="CC93" s="524"/>
    </row>
    <row r="94" spans="1:81" s="457" customFormat="1" ht="204" x14ac:dyDescent="0.25">
      <c r="A94" s="513">
        <v>11700</v>
      </c>
      <c r="B94" s="514" t="s">
        <v>29</v>
      </c>
      <c r="C94" s="515" t="s">
        <v>328</v>
      </c>
      <c r="D94" s="514" t="s">
        <v>256</v>
      </c>
      <c r="E94" s="515" t="s">
        <v>330</v>
      </c>
      <c r="F94" s="514" t="s">
        <v>380</v>
      </c>
      <c r="G94" s="516" t="s">
        <v>123</v>
      </c>
      <c r="H94" s="517">
        <v>1</v>
      </c>
      <c r="I94" s="515" t="s">
        <v>753</v>
      </c>
      <c r="J94" s="514" t="s">
        <v>946</v>
      </c>
      <c r="K94" s="518">
        <f>13118070672+200000000+77284920+48960000+27880404-11300573000-297500000+1059442341.87+636675122-199920000-61050000+4645175204-8454712-54265785-53164884</f>
        <v>7838560282.8699999</v>
      </c>
      <c r="L94" s="519">
        <v>1</v>
      </c>
      <c r="M94" s="514" t="s">
        <v>46</v>
      </c>
      <c r="N94" s="514" t="s">
        <v>68</v>
      </c>
      <c r="O94" s="514" t="s">
        <v>37</v>
      </c>
      <c r="P94" s="514" t="s">
        <v>38</v>
      </c>
      <c r="Q94" s="514" t="s">
        <v>219</v>
      </c>
      <c r="R94" s="514" t="s">
        <v>379</v>
      </c>
      <c r="S94" s="514" t="s">
        <v>99</v>
      </c>
      <c r="T94" s="519">
        <v>1</v>
      </c>
      <c r="U94" s="520" t="str">
        <f t="shared" si="56"/>
        <v>Efectuar los pagos de servicios personales indirectos (honorarios y remuneración de servicios técnicos) de acuerdo con las solicitudes de las dependencias de la ADRES</v>
      </c>
      <c r="V94" s="521">
        <f t="shared" si="57"/>
        <v>7838560282.8699999</v>
      </c>
      <c r="W94" s="522" t="s">
        <v>114</v>
      </c>
      <c r="X94" s="517">
        <v>0.25</v>
      </c>
      <c r="Y94" s="520" t="str">
        <f>+U94</f>
        <v>Efectuar los pagos de servicios personales indirectos (honorarios y remuneración de servicios técnicos) de acuerdo con las solicitudes de las dependencias de la ADRES</v>
      </c>
      <c r="Z94" s="518">
        <f>+X94*V94</f>
        <v>1959640070.7175</v>
      </c>
      <c r="AA94" s="606">
        <v>0</v>
      </c>
      <c r="AB94" s="527">
        <v>0</v>
      </c>
      <c r="AC94" s="523">
        <f t="shared" si="35"/>
        <v>0</v>
      </c>
      <c r="AD94" s="523">
        <f>+(AB94/Z94)</f>
        <v>0</v>
      </c>
      <c r="AE94" s="523">
        <f t="shared" si="37"/>
        <v>0</v>
      </c>
      <c r="AF94" s="523">
        <f t="shared" si="38"/>
        <v>0</v>
      </c>
      <c r="AG94" s="528" t="s">
        <v>1001</v>
      </c>
      <c r="AH94" s="517">
        <v>0.25</v>
      </c>
      <c r="AI94" s="529" t="str">
        <f>+U94</f>
        <v>Efectuar los pagos de servicios personales indirectos (honorarios y remuneración de servicios técnicos) de acuerdo con las solicitudes de las dependencias de la ADRES</v>
      </c>
      <c r="AJ94" s="518">
        <v>892703364.96749997</v>
      </c>
      <c r="AK94" s="524"/>
      <c r="AL94" s="524"/>
      <c r="AM94" s="523">
        <f t="shared" si="39"/>
        <v>0</v>
      </c>
      <c r="AN94" s="523">
        <f t="shared" si="40"/>
        <v>0</v>
      </c>
      <c r="AO94" s="523">
        <f t="shared" si="41"/>
        <v>0</v>
      </c>
      <c r="AP94" s="523">
        <f t="shared" si="42"/>
        <v>0</v>
      </c>
      <c r="AQ94" s="523"/>
      <c r="AR94" s="517">
        <v>0.25</v>
      </c>
      <c r="AS94" s="529" t="str">
        <f>+U94</f>
        <v>Efectuar los pagos de servicios personales indirectos (honorarios y remuneración de servicios técnicos) de acuerdo con las solicitudes de las dependencias de la ADRES</v>
      </c>
      <c r="AT94" s="518">
        <v>892703364.96749997</v>
      </c>
      <c r="AU94" s="524"/>
      <c r="AV94" s="524"/>
      <c r="AW94" s="523">
        <f t="shared" si="43"/>
        <v>0</v>
      </c>
      <c r="AX94" s="523">
        <f t="shared" si="44"/>
        <v>0</v>
      </c>
      <c r="AY94" s="523">
        <f t="shared" si="45"/>
        <v>0</v>
      </c>
      <c r="AZ94" s="523">
        <f t="shared" si="46"/>
        <v>0</v>
      </c>
      <c r="BA94" s="523"/>
      <c r="BB94" s="517">
        <v>0.25</v>
      </c>
      <c r="BC94" s="529" t="str">
        <f>+U94</f>
        <v>Efectuar los pagos de servicios personales indirectos (honorarios y remuneración de servicios técnicos) de acuerdo con las solicitudes de las dependencias de la ADRES</v>
      </c>
      <c r="BD94" s="518">
        <v>892703364.96749997</v>
      </c>
      <c r="BE94" s="524"/>
      <c r="BF94" s="524"/>
      <c r="BG94" s="517">
        <f t="shared" si="58"/>
        <v>0</v>
      </c>
      <c r="BH94" s="517">
        <f t="shared" si="59"/>
        <v>0</v>
      </c>
      <c r="BI94" s="517">
        <f t="shared" si="60"/>
        <v>0</v>
      </c>
      <c r="BJ94" s="517">
        <f t="shared" si="61"/>
        <v>0</v>
      </c>
      <c r="BK94" s="517"/>
      <c r="BL94" s="580">
        <f t="shared" si="47"/>
        <v>0</v>
      </c>
      <c r="BM94" s="580">
        <f t="shared" si="48"/>
        <v>0</v>
      </c>
      <c r="BN94" s="580">
        <f t="shared" si="49"/>
        <v>0</v>
      </c>
      <c r="BO94" s="580">
        <f t="shared" si="50"/>
        <v>0</v>
      </c>
      <c r="BP94" s="580">
        <f t="shared" si="51"/>
        <v>0</v>
      </c>
      <c r="BQ94" s="580">
        <f t="shared" si="52"/>
        <v>0</v>
      </c>
      <c r="BR94" s="580">
        <f t="shared" si="53"/>
        <v>0</v>
      </c>
      <c r="BS94" s="580">
        <f t="shared" si="54"/>
        <v>0</v>
      </c>
      <c r="BT94" s="525">
        <f t="shared" si="55"/>
        <v>0.58333333333333337</v>
      </c>
      <c r="BU94" s="526" t="str">
        <f t="shared" si="62"/>
        <v>Efectuar los pagos de servicios personales indirectos (honorarios y remuneración de servicios técnicos) de acuerdo con las solicitudes de las dependencias de la ADRES</v>
      </c>
      <c r="BV94" s="527">
        <f t="shared" si="34"/>
        <v>3149911224.0074997</v>
      </c>
      <c r="BW94" s="524"/>
      <c r="BX94" s="524"/>
      <c r="BY94" s="524"/>
      <c r="BZ94" s="524"/>
      <c r="CA94" s="524"/>
      <c r="CB94" s="524"/>
      <c r="CC94" s="524"/>
    </row>
    <row r="95" spans="1:81" s="457" customFormat="1" ht="89.25" x14ac:dyDescent="0.25">
      <c r="A95" s="513">
        <v>11700</v>
      </c>
      <c r="B95" s="514" t="s">
        <v>29</v>
      </c>
      <c r="C95" s="515" t="s">
        <v>328</v>
      </c>
      <c r="D95" s="514" t="s">
        <v>256</v>
      </c>
      <c r="E95" s="515" t="s">
        <v>383</v>
      </c>
      <c r="F95" s="514" t="s">
        <v>382</v>
      </c>
      <c r="G95" s="516" t="s">
        <v>384</v>
      </c>
      <c r="H95" s="515">
        <v>12</v>
      </c>
      <c r="I95" s="515" t="s">
        <v>388</v>
      </c>
      <c r="J95" s="514" t="s">
        <v>381</v>
      </c>
      <c r="K95" s="518">
        <v>0</v>
      </c>
      <c r="L95" s="519">
        <v>1</v>
      </c>
      <c r="M95" s="514" t="s">
        <v>46</v>
      </c>
      <c r="N95" s="514" t="s">
        <v>68</v>
      </c>
      <c r="O95" s="514" t="s">
        <v>37</v>
      </c>
      <c r="P95" s="514" t="s">
        <v>38</v>
      </c>
      <c r="Q95" s="514" t="s">
        <v>219</v>
      </c>
      <c r="R95" s="514" t="s">
        <v>626</v>
      </c>
      <c r="S95" s="514" t="s">
        <v>99</v>
      </c>
      <c r="T95" s="515">
        <v>12</v>
      </c>
      <c r="U95" s="520" t="str">
        <f t="shared" si="56"/>
        <v>Seguimiento a la ejecución presupuestal, PAC y Reservas</v>
      </c>
      <c r="V95" s="521">
        <f t="shared" si="57"/>
        <v>0</v>
      </c>
      <c r="W95" s="522" t="s">
        <v>117</v>
      </c>
      <c r="X95" s="547">
        <v>3</v>
      </c>
      <c r="Y95" s="522" t="s">
        <v>381</v>
      </c>
      <c r="Z95" s="518">
        <v>0</v>
      </c>
      <c r="AA95" s="524">
        <v>3</v>
      </c>
      <c r="AB95" s="527">
        <v>0</v>
      </c>
      <c r="AC95" s="523">
        <f t="shared" si="35"/>
        <v>1</v>
      </c>
      <c r="AD95" s="523" t="e">
        <f t="shared" si="36"/>
        <v>#DIV/0!</v>
      </c>
      <c r="AE95" s="523">
        <f t="shared" si="37"/>
        <v>0.25</v>
      </c>
      <c r="AF95" s="523" t="e">
        <f t="shared" si="38"/>
        <v>#DIV/0!</v>
      </c>
      <c r="AG95" s="528"/>
      <c r="AH95" s="547">
        <v>3</v>
      </c>
      <c r="AI95" s="522" t="s">
        <v>381</v>
      </c>
      <c r="AJ95" s="518">
        <v>0</v>
      </c>
      <c r="AK95" s="524"/>
      <c r="AL95" s="524"/>
      <c r="AM95" s="523">
        <f t="shared" si="39"/>
        <v>0</v>
      </c>
      <c r="AN95" s="523" t="e">
        <f t="shared" si="40"/>
        <v>#DIV/0!</v>
      </c>
      <c r="AO95" s="523">
        <f t="shared" si="41"/>
        <v>0.25</v>
      </c>
      <c r="AP95" s="523" t="e">
        <f t="shared" si="42"/>
        <v>#DIV/0!</v>
      </c>
      <c r="AQ95" s="523"/>
      <c r="AR95" s="547">
        <v>3</v>
      </c>
      <c r="AS95" s="522" t="s">
        <v>381</v>
      </c>
      <c r="AT95" s="518">
        <v>0</v>
      </c>
      <c r="AU95" s="524"/>
      <c r="AV95" s="524"/>
      <c r="AW95" s="523">
        <f t="shared" si="43"/>
        <v>0</v>
      </c>
      <c r="AX95" s="523" t="e">
        <f t="shared" si="44"/>
        <v>#DIV/0!</v>
      </c>
      <c r="AY95" s="523">
        <f t="shared" si="45"/>
        <v>0.25</v>
      </c>
      <c r="AZ95" s="523" t="e">
        <f t="shared" si="46"/>
        <v>#DIV/0!</v>
      </c>
      <c r="BA95" s="523"/>
      <c r="BB95" s="547">
        <v>3</v>
      </c>
      <c r="BC95" s="522" t="s">
        <v>381</v>
      </c>
      <c r="BD95" s="518">
        <v>0</v>
      </c>
      <c r="BE95" s="524"/>
      <c r="BF95" s="524"/>
      <c r="BG95" s="517">
        <f t="shared" si="58"/>
        <v>0</v>
      </c>
      <c r="BH95" s="517" t="e">
        <f t="shared" si="59"/>
        <v>#DIV/0!</v>
      </c>
      <c r="BI95" s="517">
        <f t="shared" si="60"/>
        <v>0.25</v>
      </c>
      <c r="BJ95" s="517" t="e">
        <f t="shared" si="61"/>
        <v>#DIV/0!</v>
      </c>
      <c r="BK95" s="517"/>
      <c r="BL95" s="580">
        <f t="shared" si="47"/>
        <v>1</v>
      </c>
      <c r="BM95" s="580" t="str">
        <f t="shared" si="48"/>
        <v>No Prog ni Ejec</v>
      </c>
      <c r="BN95" s="580">
        <f t="shared" si="49"/>
        <v>0</v>
      </c>
      <c r="BO95" s="580" t="str">
        <f t="shared" si="50"/>
        <v>No Prog ni Ejec</v>
      </c>
      <c r="BP95" s="580">
        <f t="shared" si="51"/>
        <v>0</v>
      </c>
      <c r="BQ95" s="580" t="str">
        <f t="shared" si="52"/>
        <v>No Prog ni Ejec</v>
      </c>
      <c r="BR95" s="580">
        <f t="shared" si="53"/>
        <v>0</v>
      </c>
      <c r="BS95" s="580" t="str">
        <f t="shared" si="54"/>
        <v>No Prog ni Ejec</v>
      </c>
      <c r="BT95" s="553">
        <f t="shared" si="55"/>
        <v>7</v>
      </c>
      <c r="BU95" s="526" t="str">
        <f t="shared" si="62"/>
        <v>Seguimiento a la ejecución presupuestal, PAC y Reservas</v>
      </c>
      <c r="BV95" s="527">
        <f t="shared" si="34"/>
        <v>0</v>
      </c>
      <c r="BW95" s="524"/>
      <c r="BX95" s="524"/>
      <c r="BY95" s="524"/>
      <c r="BZ95" s="524"/>
      <c r="CA95" s="524"/>
      <c r="CB95" s="524"/>
      <c r="CC95" s="524"/>
    </row>
    <row r="96" spans="1:81" s="457" customFormat="1" ht="89.25" x14ac:dyDescent="0.25">
      <c r="A96" s="513">
        <v>11700</v>
      </c>
      <c r="B96" s="514" t="s">
        <v>29</v>
      </c>
      <c r="C96" s="515" t="s">
        <v>328</v>
      </c>
      <c r="D96" s="514" t="s">
        <v>256</v>
      </c>
      <c r="E96" s="515" t="s">
        <v>385</v>
      </c>
      <c r="F96" s="514" t="s">
        <v>387</v>
      </c>
      <c r="G96" s="516" t="s">
        <v>384</v>
      </c>
      <c r="H96" s="515">
        <v>4</v>
      </c>
      <c r="I96" s="515" t="s">
        <v>389</v>
      </c>
      <c r="J96" s="514" t="s">
        <v>386</v>
      </c>
      <c r="K96" s="518">
        <v>0</v>
      </c>
      <c r="L96" s="519">
        <v>1</v>
      </c>
      <c r="M96" s="514" t="s">
        <v>46</v>
      </c>
      <c r="N96" s="514" t="s">
        <v>68</v>
      </c>
      <c r="O96" s="514" t="s">
        <v>37</v>
      </c>
      <c r="P96" s="514" t="s">
        <v>38</v>
      </c>
      <c r="Q96" s="514" t="s">
        <v>219</v>
      </c>
      <c r="R96" s="514" t="s">
        <v>627</v>
      </c>
      <c r="S96" s="514" t="s">
        <v>99</v>
      </c>
      <c r="T96" s="515">
        <v>4</v>
      </c>
      <c r="U96" s="520" t="str">
        <f t="shared" si="56"/>
        <v>Informes Estados Financieros (Balance General y Estado de Resultados) de la UGG</v>
      </c>
      <c r="V96" s="521">
        <f t="shared" si="57"/>
        <v>0</v>
      </c>
      <c r="W96" s="522" t="s">
        <v>117</v>
      </c>
      <c r="X96" s="547">
        <v>1</v>
      </c>
      <c r="Y96" s="522" t="s">
        <v>386</v>
      </c>
      <c r="Z96" s="518">
        <v>0</v>
      </c>
      <c r="AA96" s="524">
        <v>1</v>
      </c>
      <c r="AB96" s="518">
        <v>0</v>
      </c>
      <c r="AC96" s="523">
        <f t="shared" si="35"/>
        <v>1</v>
      </c>
      <c r="AD96" s="523" t="e">
        <f t="shared" si="36"/>
        <v>#DIV/0!</v>
      </c>
      <c r="AE96" s="523">
        <f t="shared" si="37"/>
        <v>0.25</v>
      </c>
      <c r="AF96" s="523" t="e">
        <f t="shared" si="38"/>
        <v>#DIV/0!</v>
      </c>
      <c r="AG96" s="528" t="s">
        <v>1002</v>
      </c>
      <c r="AH96" s="547">
        <v>1</v>
      </c>
      <c r="AI96" s="522" t="s">
        <v>386</v>
      </c>
      <c r="AJ96" s="518">
        <v>0</v>
      </c>
      <c r="AK96" s="524"/>
      <c r="AL96" s="524"/>
      <c r="AM96" s="523">
        <f t="shared" si="39"/>
        <v>0</v>
      </c>
      <c r="AN96" s="523" t="e">
        <f t="shared" si="40"/>
        <v>#DIV/0!</v>
      </c>
      <c r="AO96" s="523">
        <f t="shared" si="41"/>
        <v>0.25</v>
      </c>
      <c r="AP96" s="523" t="e">
        <f t="shared" si="42"/>
        <v>#DIV/0!</v>
      </c>
      <c r="AQ96" s="523"/>
      <c r="AR96" s="547">
        <v>1</v>
      </c>
      <c r="AS96" s="522" t="s">
        <v>386</v>
      </c>
      <c r="AT96" s="518">
        <v>0</v>
      </c>
      <c r="AU96" s="524"/>
      <c r="AV96" s="524"/>
      <c r="AW96" s="523">
        <f t="shared" si="43"/>
        <v>0</v>
      </c>
      <c r="AX96" s="523" t="e">
        <f t="shared" si="44"/>
        <v>#DIV/0!</v>
      </c>
      <c r="AY96" s="523">
        <f t="shared" si="45"/>
        <v>0.25</v>
      </c>
      <c r="AZ96" s="523" t="e">
        <f t="shared" si="46"/>
        <v>#DIV/0!</v>
      </c>
      <c r="BA96" s="523"/>
      <c r="BB96" s="547">
        <v>1</v>
      </c>
      <c r="BC96" s="522" t="s">
        <v>386</v>
      </c>
      <c r="BD96" s="518">
        <v>0</v>
      </c>
      <c r="BE96" s="524"/>
      <c r="BF96" s="524"/>
      <c r="BG96" s="517">
        <f t="shared" si="58"/>
        <v>0</v>
      </c>
      <c r="BH96" s="517" t="e">
        <f t="shared" si="59"/>
        <v>#DIV/0!</v>
      </c>
      <c r="BI96" s="517">
        <f t="shared" si="60"/>
        <v>0.25</v>
      </c>
      <c r="BJ96" s="517" t="e">
        <f t="shared" si="61"/>
        <v>#DIV/0!</v>
      </c>
      <c r="BK96" s="517"/>
      <c r="BL96" s="580">
        <f t="shared" si="47"/>
        <v>1</v>
      </c>
      <c r="BM96" s="580" t="str">
        <f t="shared" si="48"/>
        <v>No Prog ni Ejec</v>
      </c>
      <c r="BN96" s="580">
        <f t="shared" si="49"/>
        <v>0</v>
      </c>
      <c r="BO96" s="580" t="str">
        <f t="shared" si="50"/>
        <v>No Prog ni Ejec</v>
      </c>
      <c r="BP96" s="580">
        <f t="shared" si="51"/>
        <v>0</v>
      </c>
      <c r="BQ96" s="580" t="str">
        <f t="shared" si="52"/>
        <v>No Prog ni Ejec</v>
      </c>
      <c r="BR96" s="580">
        <f t="shared" si="53"/>
        <v>0</v>
      </c>
      <c r="BS96" s="580" t="str">
        <f t="shared" si="54"/>
        <v>No Prog ni Ejec</v>
      </c>
      <c r="BT96" s="553">
        <f t="shared" si="55"/>
        <v>2.3333333333333335</v>
      </c>
      <c r="BU96" s="526" t="str">
        <f t="shared" si="62"/>
        <v>Informes Estados Financieros (Balance General y Estado de Resultados) de la UGG</v>
      </c>
      <c r="BV96" s="527">
        <f t="shared" si="34"/>
        <v>0</v>
      </c>
      <c r="BW96" s="524"/>
      <c r="BX96" s="524"/>
      <c r="BY96" s="524"/>
      <c r="BZ96" s="524"/>
      <c r="CA96" s="524"/>
      <c r="CB96" s="524"/>
      <c r="CC96" s="524"/>
    </row>
    <row r="97" spans="1:81" s="457" customFormat="1" ht="89.25" x14ac:dyDescent="0.25">
      <c r="A97" s="513">
        <v>11700</v>
      </c>
      <c r="B97" s="514" t="s">
        <v>29</v>
      </c>
      <c r="C97" s="515" t="s">
        <v>328</v>
      </c>
      <c r="D97" s="514" t="s">
        <v>256</v>
      </c>
      <c r="E97" s="515" t="s">
        <v>391</v>
      </c>
      <c r="F97" s="514" t="s">
        <v>393</v>
      </c>
      <c r="G97" s="516" t="s">
        <v>384</v>
      </c>
      <c r="H97" s="515">
        <v>4</v>
      </c>
      <c r="I97" s="515" t="s">
        <v>392</v>
      </c>
      <c r="J97" s="514" t="s">
        <v>390</v>
      </c>
      <c r="K97" s="518">
        <v>0</v>
      </c>
      <c r="L97" s="519">
        <v>1</v>
      </c>
      <c r="M97" s="514" t="s">
        <v>46</v>
      </c>
      <c r="N97" s="514" t="s">
        <v>68</v>
      </c>
      <c r="O97" s="514" t="s">
        <v>37</v>
      </c>
      <c r="P97" s="514" t="s">
        <v>38</v>
      </c>
      <c r="Q97" s="514" t="s">
        <v>219</v>
      </c>
      <c r="R97" s="514" t="s">
        <v>628</v>
      </c>
      <c r="S97" s="514" t="s">
        <v>99</v>
      </c>
      <c r="T97" s="515">
        <v>4</v>
      </c>
      <c r="U97" s="520" t="str">
        <f t="shared" si="56"/>
        <v>Informes Operaciones Reciprocas</v>
      </c>
      <c r="V97" s="521">
        <f t="shared" si="57"/>
        <v>0</v>
      </c>
      <c r="W97" s="522" t="s">
        <v>117</v>
      </c>
      <c r="X97" s="547">
        <v>1</v>
      </c>
      <c r="Y97" s="522" t="s">
        <v>390</v>
      </c>
      <c r="Z97" s="518">
        <v>0</v>
      </c>
      <c r="AA97" s="524">
        <v>1</v>
      </c>
      <c r="AB97" s="518">
        <v>0</v>
      </c>
      <c r="AC97" s="523">
        <f t="shared" si="35"/>
        <v>1</v>
      </c>
      <c r="AD97" s="523" t="e">
        <f t="shared" si="36"/>
        <v>#DIV/0!</v>
      </c>
      <c r="AE97" s="523">
        <f t="shared" si="37"/>
        <v>0.25</v>
      </c>
      <c r="AF97" s="523" t="e">
        <f t="shared" si="38"/>
        <v>#DIV/0!</v>
      </c>
      <c r="AG97" s="528" t="s">
        <v>1002</v>
      </c>
      <c r="AH97" s="547">
        <v>1</v>
      </c>
      <c r="AI97" s="522" t="s">
        <v>390</v>
      </c>
      <c r="AJ97" s="518">
        <v>0</v>
      </c>
      <c r="AK97" s="524"/>
      <c r="AL97" s="524"/>
      <c r="AM97" s="523">
        <f t="shared" si="39"/>
        <v>0</v>
      </c>
      <c r="AN97" s="523" t="e">
        <f t="shared" si="40"/>
        <v>#DIV/0!</v>
      </c>
      <c r="AO97" s="523">
        <f t="shared" si="41"/>
        <v>0.25</v>
      </c>
      <c r="AP97" s="523" t="e">
        <f t="shared" si="42"/>
        <v>#DIV/0!</v>
      </c>
      <c r="AQ97" s="523"/>
      <c r="AR97" s="547">
        <v>1</v>
      </c>
      <c r="AS97" s="522" t="s">
        <v>390</v>
      </c>
      <c r="AT97" s="518">
        <v>0</v>
      </c>
      <c r="AU97" s="524"/>
      <c r="AV97" s="524"/>
      <c r="AW97" s="523">
        <f t="shared" si="43"/>
        <v>0</v>
      </c>
      <c r="AX97" s="523" t="e">
        <f t="shared" si="44"/>
        <v>#DIV/0!</v>
      </c>
      <c r="AY97" s="523">
        <f t="shared" si="45"/>
        <v>0.25</v>
      </c>
      <c r="AZ97" s="523" t="e">
        <f t="shared" si="46"/>
        <v>#DIV/0!</v>
      </c>
      <c r="BA97" s="523"/>
      <c r="BB97" s="547">
        <v>1</v>
      </c>
      <c r="BC97" s="522" t="s">
        <v>390</v>
      </c>
      <c r="BD97" s="518">
        <v>0</v>
      </c>
      <c r="BE97" s="524"/>
      <c r="BF97" s="524"/>
      <c r="BG97" s="517">
        <f t="shared" si="58"/>
        <v>0</v>
      </c>
      <c r="BH97" s="517" t="e">
        <f t="shared" si="59"/>
        <v>#DIV/0!</v>
      </c>
      <c r="BI97" s="517">
        <f t="shared" si="60"/>
        <v>0.25</v>
      </c>
      <c r="BJ97" s="517" t="e">
        <f t="shared" si="61"/>
        <v>#DIV/0!</v>
      </c>
      <c r="BK97" s="517"/>
      <c r="BL97" s="580">
        <f t="shared" si="47"/>
        <v>1</v>
      </c>
      <c r="BM97" s="580" t="str">
        <f t="shared" si="48"/>
        <v>No Prog ni Ejec</v>
      </c>
      <c r="BN97" s="580">
        <f t="shared" si="49"/>
        <v>0</v>
      </c>
      <c r="BO97" s="580" t="str">
        <f t="shared" si="50"/>
        <v>No Prog ni Ejec</v>
      </c>
      <c r="BP97" s="580">
        <f t="shared" si="51"/>
        <v>0</v>
      </c>
      <c r="BQ97" s="580" t="str">
        <f t="shared" si="52"/>
        <v>No Prog ni Ejec</v>
      </c>
      <c r="BR97" s="580">
        <f t="shared" si="53"/>
        <v>0</v>
      </c>
      <c r="BS97" s="580" t="str">
        <f t="shared" si="54"/>
        <v>No Prog ni Ejec</v>
      </c>
      <c r="BT97" s="553">
        <f t="shared" si="55"/>
        <v>2.3333333333333335</v>
      </c>
      <c r="BU97" s="526" t="str">
        <f t="shared" si="62"/>
        <v>Informes Operaciones Reciprocas</v>
      </c>
      <c r="BV97" s="527">
        <f t="shared" si="34"/>
        <v>0</v>
      </c>
      <c r="BW97" s="524"/>
      <c r="BX97" s="524"/>
      <c r="BY97" s="524"/>
      <c r="BZ97" s="524"/>
      <c r="CA97" s="524"/>
      <c r="CB97" s="524"/>
      <c r="CC97" s="524"/>
    </row>
    <row r="98" spans="1:81" s="457" customFormat="1" ht="89.25" x14ac:dyDescent="0.25">
      <c r="A98" s="513">
        <v>11700</v>
      </c>
      <c r="B98" s="514" t="s">
        <v>29</v>
      </c>
      <c r="C98" s="515" t="s">
        <v>328</v>
      </c>
      <c r="D98" s="514" t="s">
        <v>256</v>
      </c>
      <c r="E98" s="515" t="s">
        <v>394</v>
      </c>
      <c r="F98" s="514" t="s">
        <v>395</v>
      </c>
      <c r="G98" s="516" t="s">
        <v>123</v>
      </c>
      <c r="H98" s="517">
        <v>1</v>
      </c>
      <c r="I98" s="515" t="s">
        <v>396</v>
      </c>
      <c r="J98" s="522" t="s">
        <v>947</v>
      </c>
      <c r="K98" s="518">
        <v>0</v>
      </c>
      <c r="L98" s="519">
        <v>1</v>
      </c>
      <c r="M98" s="514" t="s">
        <v>46</v>
      </c>
      <c r="N98" s="514" t="s">
        <v>68</v>
      </c>
      <c r="O98" s="514" t="s">
        <v>37</v>
      </c>
      <c r="P98" s="514" t="s">
        <v>38</v>
      </c>
      <c r="Q98" s="514" t="s">
        <v>219</v>
      </c>
      <c r="R98" s="514" t="s">
        <v>398</v>
      </c>
      <c r="S98" s="514" t="s">
        <v>99</v>
      </c>
      <c r="T98" s="519">
        <v>1</v>
      </c>
      <c r="U98" s="520" t="str">
        <f t="shared" si="56"/>
        <v xml:space="preserve">Pago de las Cuentas de Cobro radicadas en el mes que cumplan con los requisitos exigidos debidamente aprobadas y soportadas por los supervisores de los contratos </v>
      </c>
      <c r="V98" s="521">
        <f t="shared" si="57"/>
        <v>0</v>
      </c>
      <c r="W98" s="522" t="s">
        <v>117</v>
      </c>
      <c r="X98" s="517">
        <v>0.25</v>
      </c>
      <c r="Y98" s="529" t="str">
        <f>+U98</f>
        <v xml:space="preserve">Pago de las Cuentas de Cobro radicadas en el mes que cumplan con los requisitos exigidos debidamente aprobadas y soportadas por los supervisores de los contratos </v>
      </c>
      <c r="Z98" s="518">
        <v>0</v>
      </c>
      <c r="AA98" s="606">
        <f>(291/293)*25%</f>
        <v>0.24829351535836178</v>
      </c>
      <c r="AB98" s="518">
        <v>0</v>
      </c>
      <c r="AC98" s="523">
        <f t="shared" si="35"/>
        <v>0.99317406143344711</v>
      </c>
      <c r="AD98" s="523" t="e">
        <f t="shared" si="36"/>
        <v>#DIV/0!</v>
      </c>
      <c r="AE98" s="523">
        <f t="shared" si="37"/>
        <v>0.24829351535836178</v>
      </c>
      <c r="AF98" s="523" t="e">
        <f t="shared" si="38"/>
        <v>#DIV/0!</v>
      </c>
      <c r="AG98" s="528" t="s">
        <v>1003</v>
      </c>
      <c r="AH98" s="517">
        <v>0.25</v>
      </c>
      <c r="AI98" s="529" t="str">
        <f>+U98</f>
        <v xml:space="preserve">Pago de las Cuentas de Cobro radicadas en el mes que cumplan con los requisitos exigidos debidamente aprobadas y soportadas por los supervisores de los contratos </v>
      </c>
      <c r="AJ98" s="518">
        <v>0</v>
      </c>
      <c r="AK98" s="524"/>
      <c r="AL98" s="524"/>
      <c r="AM98" s="523">
        <f t="shared" si="39"/>
        <v>0</v>
      </c>
      <c r="AN98" s="523" t="e">
        <f t="shared" si="40"/>
        <v>#DIV/0!</v>
      </c>
      <c r="AO98" s="523">
        <f t="shared" si="41"/>
        <v>0.24829351535836178</v>
      </c>
      <c r="AP98" s="523" t="e">
        <f t="shared" si="42"/>
        <v>#DIV/0!</v>
      </c>
      <c r="AQ98" s="523"/>
      <c r="AR98" s="517">
        <v>0.25</v>
      </c>
      <c r="AS98" s="529" t="str">
        <f>+U98</f>
        <v xml:space="preserve">Pago de las Cuentas de Cobro radicadas en el mes que cumplan con los requisitos exigidos debidamente aprobadas y soportadas por los supervisores de los contratos </v>
      </c>
      <c r="AT98" s="518">
        <v>0</v>
      </c>
      <c r="AU98" s="524"/>
      <c r="AV98" s="524"/>
      <c r="AW98" s="523">
        <f t="shared" si="43"/>
        <v>0</v>
      </c>
      <c r="AX98" s="523" t="e">
        <f t="shared" si="44"/>
        <v>#DIV/0!</v>
      </c>
      <c r="AY98" s="523">
        <f t="shared" si="45"/>
        <v>0.24829351535836178</v>
      </c>
      <c r="AZ98" s="523" t="e">
        <f t="shared" si="46"/>
        <v>#DIV/0!</v>
      </c>
      <c r="BA98" s="523"/>
      <c r="BB98" s="517">
        <v>0.25</v>
      </c>
      <c r="BC98" s="529" t="str">
        <f>+U98</f>
        <v xml:space="preserve">Pago de las Cuentas de Cobro radicadas en el mes que cumplan con los requisitos exigidos debidamente aprobadas y soportadas por los supervisores de los contratos </v>
      </c>
      <c r="BD98" s="518">
        <v>0</v>
      </c>
      <c r="BE98" s="524"/>
      <c r="BF98" s="524"/>
      <c r="BG98" s="517">
        <f t="shared" si="58"/>
        <v>0</v>
      </c>
      <c r="BH98" s="517" t="e">
        <f t="shared" si="59"/>
        <v>#DIV/0!</v>
      </c>
      <c r="BI98" s="517">
        <f t="shared" si="60"/>
        <v>0.24829351535836178</v>
      </c>
      <c r="BJ98" s="517" t="e">
        <f t="shared" si="61"/>
        <v>#DIV/0!</v>
      </c>
      <c r="BK98" s="517"/>
      <c r="BL98" s="580">
        <f t="shared" si="47"/>
        <v>0.99317406143344711</v>
      </c>
      <c r="BM98" s="580" t="str">
        <f t="shared" si="48"/>
        <v>No Prog ni Ejec</v>
      </c>
      <c r="BN98" s="580">
        <f t="shared" si="49"/>
        <v>0</v>
      </c>
      <c r="BO98" s="580" t="str">
        <f t="shared" si="50"/>
        <v>No Prog ni Ejec</v>
      </c>
      <c r="BP98" s="580">
        <f t="shared" si="51"/>
        <v>0</v>
      </c>
      <c r="BQ98" s="580" t="str">
        <f t="shared" si="52"/>
        <v>No Prog ni Ejec</v>
      </c>
      <c r="BR98" s="580">
        <f t="shared" si="53"/>
        <v>0</v>
      </c>
      <c r="BS98" s="580" t="str">
        <f t="shared" si="54"/>
        <v>No Prog ni Ejec</v>
      </c>
      <c r="BT98" s="525">
        <f t="shared" si="55"/>
        <v>0.58333333333333337</v>
      </c>
      <c r="BU98" s="526" t="str">
        <f t="shared" si="62"/>
        <v xml:space="preserve">Pago de las Cuentas de Cobro radicadas en el mes que cumplan con los requisitos exigidos debidamente aprobadas y soportadas por los supervisores de los contratos </v>
      </c>
      <c r="BV98" s="527">
        <f t="shared" si="34"/>
        <v>0</v>
      </c>
      <c r="BW98" s="524"/>
      <c r="BX98" s="524"/>
      <c r="BY98" s="524"/>
      <c r="BZ98" s="524"/>
      <c r="CA98" s="524"/>
      <c r="CB98" s="524"/>
      <c r="CC98" s="524"/>
    </row>
    <row r="99" spans="1:81" s="457" customFormat="1" ht="114.75" x14ac:dyDescent="0.25">
      <c r="A99" s="513">
        <v>11700</v>
      </c>
      <c r="B99" s="514" t="s">
        <v>29</v>
      </c>
      <c r="C99" s="515" t="s">
        <v>328</v>
      </c>
      <c r="D99" s="514" t="s">
        <v>256</v>
      </c>
      <c r="E99" s="515" t="s">
        <v>399</v>
      </c>
      <c r="F99" s="514" t="s">
        <v>400</v>
      </c>
      <c r="G99" s="516" t="s">
        <v>123</v>
      </c>
      <c r="H99" s="517">
        <v>1</v>
      </c>
      <c r="I99" s="515" t="s">
        <v>403</v>
      </c>
      <c r="J99" s="514" t="s">
        <v>948</v>
      </c>
      <c r="K99" s="518">
        <v>319126980</v>
      </c>
      <c r="L99" s="519">
        <v>1</v>
      </c>
      <c r="M99" s="514" t="s">
        <v>51</v>
      </c>
      <c r="N99" s="514" t="s">
        <v>56</v>
      </c>
      <c r="O99" s="514" t="s">
        <v>37</v>
      </c>
      <c r="P99" s="514" t="s">
        <v>40</v>
      </c>
      <c r="Q99" s="514" t="s">
        <v>217</v>
      </c>
      <c r="R99" s="514" t="s">
        <v>949</v>
      </c>
      <c r="S99" s="514" t="s">
        <v>111</v>
      </c>
      <c r="T99" s="519">
        <v>1</v>
      </c>
      <c r="U99" s="520" t="str">
        <f t="shared" si="56"/>
        <v>Trámites  Precontractuales y Contractuales Adelantados de conformidad con Plan de Adquisiciones</v>
      </c>
      <c r="V99" s="521">
        <f t="shared" si="57"/>
        <v>319126980</v>
      </c>
      <c r="W99" s="522" t="s">
        <v>114</v>
      </c>
      <c r="X99" s="517">
        <v>0.25</v>
      </c>
      <c r="Y99" s="529" t="str">
        <f>+U99</f>
        <v>Trámites  Precontractuales y Contractuales Adelantados de conformidad con Plan de Adquisiciones</v>
      </c>
      <c r="Z99" s="518">
        <f>+V99*X99</f>
        <v>79781745</v>
      </c>
      <c r="AA99" s="617">
        <f>(69/70)*25%</f>
        <v>0.24642857142857144</v>
      </c>
      <c r="AB99" s="518">
        <f>40156524+6692754+1070841</f>
        <v>47920119</v>
      </c>
      <c r="AC99" s="523">
        <f t="shared" si="35"/>
        <v>0.98571428571428577</v>
      </c>
      <c r="AD99" s="523">
        <f>+(AB99/Z99)</f>
        <v>0.60064014643951447</v>
      </c>
      <c r="AE99" s="523">
        <f t="shared" si="37"/>
        <v>0.24642857142857144</v>
      </c>
      <c r="AF99" s="523">
        <f t="shared" si="38"/>
        <v>0.15016003660987862</v>
      </c>
      <c r="AG99" s="528" t="s">
        <v>958</v>
      </c>
      <c r="AH99" s="517">
        <v>0.25</v>
      </c>
      <c r="AI99" s="529" t="str">
        <f>+U99</f>
        <v>Trámites  Precontractuales y Contractuales Adelantados de conformidad con Plan de Adquisiciones</v>
      </c>
      <c r="AJ99" s="518">
        <v>79781745</v>
      </c>
      <c r="AK99" s="524"/>
      <c r="AL99" s="524"/>
      <c r="AM99" s="523">
        <f t="shared" si="39"/>
        <v>0</v>
      </c>
      <c r="AN99" s="523">
        <f t="shared" si="40"/>
        <v>0</v>
      </c>
      <c r="AO99" s="523">
        <f t="shared" si="41"/>
        <v>0.24642857142857144</v>
      </c>
      <c r="AP99" s="523">
        <f t="shared" si="42"/>
        <v>0.15016003660987862</v>
      </c>
      <c r="AQ99" s="523"/>
      <c r="AR99" s="517">
        <v>0.25</v>
      </c>
      <c r="AS99" s="529" t="str">
        <f>+U99</f>
        <v>Trámites  Precontractuales y Contractuales Adelantados de conformidad con Plan de Adquisiciones</v>
      </c>
      <c r="AT99" s="518">
        <v>79781745</v>
      </c>
      <c r="AU99" s="524"/>
      <c r="AV99" s="524"/>
      <c r="AW99" s="523">
        <f t="shared" si="43"/>
        <v>0</v>
      </c>
      <c r="AX99" s="523">
        <f t="shared" si="44"/>
        <v>0</v>
      </c>
      <c r="AY99" s="523">
        <f t="shared" si="45"/>
        <v>0.24642857142857144</v>
      </c>
      <c r="AZ99" s="523">
        <f t="shared" si="46"/>
        <v>0.15016003660987862</v>
      </c>
      <c r="BA99" s="523"/>
      <c r="BB99" s="517">
        <v>0.25</v>
      </c>
      <c r="BC99" s="529" t="str">
        <f>+U99</f>
        <v>Trámites  Precontractuales y Contractuales Adelantados de conformidad con Plan de Adquisiciones</v>
      </c>
      <c r="BD99" s="518">
        <v>79781745</v>
      </c>
      <c r="BE99" s="524"/>
      <c r="BF99" s="524"/>
      <c r="BG99" s="517">
        <f t="shared" si="58"/>
        <v>0</v>
      </c>
      <c r="BH99" s="517">
        <f t="shared" si="59"/>
        <v>0</v>
      </c>
      <c r="BI99" s="517">
        <f t="shared" si="60"/>
        <v>0.24642857142857144</v>
      </c>
      <c r="BJ99" s="517">
        <f t="shared" si="61"/>
        <v>0.15016003660987862</v>
      </c>
      <c r="BK99" s="517"/>
      <c r="BL99" s="580">
        <f t="shared" si="47"/>
        <v>0.98571428571428577</v>
      </c>
      <c r="BM99" s="580">
        <f t="shared" si="48"/>
        <v>0.60064014643951447</v>
      </c>
      <c r="BN99" s="580">
        <f t="shared" si="49"/>
        <v>0</v>
      </c>
      <c r="BO99" s="580">
        <f t="shared" si="50"/>
        <v>0</v>
      </c>
      <c r="BP99" s="580">
        <f t="shared" si="51"/>
        <v>0</v>
      </c>
      <c r="BQ99" s="580">
        <f t="shared" si="52"/>
        <v>0</v>
      </c>
      <c r="BR99" s="580">
        <f t="shared" si="53"/>
        <v>0</v>
      </c>
      <c r="BS99" s="580">
        <f t="shared" si="54"/>
        <v>0</v>
      </c>
      <c r="BT99" s="525">
        <f t="shared" si="55"/>
        <v>0.58333333333333337</v>
      </c>
      <c r="BU99" s="526" t="str">
        <f>+U99</f>
        <v>Trámites  Precontractuales y Contractuales Adelantados de conformidad con Plan de Adquisiciones</v>
      </c>
      <c r="BV99" s="527">
        <f t="shared" si="34"/>
        <v>186157405</v>
      </c>
      <c r="BW99" s="524"/>
      <c r="BX99" s="524"/>
      <c r="BY99" s="524"/>
      <c r="BZ99" s="524"/>
      <c r="CA99" s="524"/>
      <c r="CB99" s="524"/>
      <c r="CC99" s="524"/>
    </row>
    <row r="100" spans="1:81" s="457" customFormat="1" ht="114.75" x14ac:dyDescent="0.25">
      <c r="A100" s="513">
        <v>11700</v>
      </c>
      <c r="B100" s="514" t="s">
        <v>29</v>
      </c>
      <c r="C100" s="515" t="s">
        <v>328</v>
      </c>
      <c r="D100" s="514" t="s">
        <v>256</v>
      </c>
      <c r="E100" s="515" t="s">
        <v>401</v>
      </c>
      <c r="F100" s="514" t="s">
        <v>563</v>
      </c>
      <c r="G100" s="516" t="s">
        <v>123</v>
      </c>
      <c r="H100" s="517">
        <v>1</v>
      </c>
      <c r="I100" s="515" t="s">
        <v>404</v>
      </c>
      <c r="J100" s="514" t="s">
        <v>564</v>
      </c>
      <c r="K100" s="518">
        <v>0</v>
      </c>
      <c r="L100" s="519">
        <v>1</v>
      </c>
      <c r="M100" s="514" t="s">
        <v>51</v>
      </c>
      <c r="N100" s="514" t="s">
        <v>56</v>
      </c>
      <c r="O100" s="514" t="s">
        <v>37</v>
      </c>
      <c r="P100" s="514" t="s">
        <v>40</v>
      </c>
      <c r="Q100" s="514" t="s">
        <v>217</v>
      </c>
      <c r="R100" s="514" t="s">
        <v>950</v>
      </c>
      <c r="S100" s="514" t="s">
        <v>111</v>
      </c>
      <c r="T100" s="519">
        <v>1</v>
      </c>
      <c r="U100" s="520" t="str">
        <f t="shared" si="56"/>
        <v xml:space="preserve">No de Actos de cierre y/ o liquidaciones elaboradas / No. De Contratos terminados. </v>
      </c>
      <c r="V100" s="521">
        <f t="shared" si="57"/>
        <v>0</v>
      </c>
      <c r="W100" s="522" t="s">
        <v>117</v>
      </c>
      <c r="X100" s="517">
        <v>0.25</v>
      </c>
      <c r="Y100" s="522" t="s">
        <v>564</v>
      </c>
      <c r="Z100" s="518">
        <v>0</v>
      </c>
      <c r="AA100" s="617">
        <f>(48/58)*X100</f>
        <v>0.20689655172413793</v>
      </c>
      <c r="AB100" s="518">
        <v>0</v>
      </c>
      <c r="AC100" s="523">
        <f t="shared" si="35"/>
        <v>0.82758620689655171</v>
      </c>
      <c r="AD100" s="523" t="e">
        <f t="shared" si="36"/>
        <v>#DIV/0!</v>
      </c>
      <c r="AE100" s="523">
        <f t="shared" si="37"/>
        <v>0.20689655172413793</v>
      </c>
      <c r="AF100" s="523" t="e">
        <f t="shared" si="38"/>
        <v>#DIV/0!</v>
      </c>
      <c r="AG100" s="528" t="s">
        <v>1004</v>
      </c>
      <c r="AH100" s="517">
        <v>0.25</v>
      </c>
      <c r="AI100" s="522" t="s">
        <v>564</v>
      </c>
      <c r="AJ100" s="518">
        <v>0</v>
      </c>
      <c r="AK100" s="524"/>
      <c r="AL100" s="524"/>
      <c r="AM100" s="523">
        <f t="shared" si="39"/>
        <v>0</v>
      </c>
      <c r="AN100" s="523" t="e">
        <f t="shared" si="40"/>
        <v>#DIV/0!</v>
      </c>
      <c r="AO100" s="523">
        <f t="shared" si="41"/>
        <v>0.20689655172413793</v>
      </c>
      <c r="AP100" s="523" t="e">
        <f t="shared" si="42"/>
        <v>#DIV/0!</v>
      </c>
      <c r="AQ100" s="523"/>
      <c r="AR100" s="517">
        <v>0.25</v>
      </c>
      <c r="AS100" s="522" t="s">
        <v>564</v>
      </c>
      <c r="AT100" s="518">
        <v>0</v>
      </c>
      <c r="AU100" s="524"/>
      <c r="AV100" s="524"/>
      <c r="AW100" s="523">
        <f t="shared" si="43"/>
        <v>0</v>
      </c>
      <c r="AX100" s="523" t="e">
        <f t="shared" si="44"/>
        <v>#DIV/0!</v>
      </c>
      <c r="AY100" s="523">
        <f t="shared" si="45"/>
        <v>0.20689655172413793</v>
      </c>
      <c r="AZ100" s="523" t="e">
        <f t="shared" si="46"/>
        <v>#DIV/0!</v>
      </c>
      <c r="BA100" s="523"/>
      <c r="BB100" s="517">
        <v>0.25</v>
      </c>
      <c r="BC100" s="522" t="s">
        <v>564</v>
      </c>
      <c r="BD100" s="518">
        <v>0</v>
      </c>
      <c r="BE100" s="524"/>
      <c r="BF100" s="524"/>
      <c r="BG100" s="517">
        <f t="shared" si="58"/>
        <v>0</v>
      </c>
      <c r="BH100" s="517" t="e">
        <f t="shared" si="59"/>
        <v>#DIV/0!</v>
      </c>
      <c r="BI100" s="517">
        <f t="shared" si="60"/>
        <v>0.20689655172413793</v>
      </c>
      <c r="BJ100" s="517" t="e">
        <f t="shared" si="61"/>
        <v>#DIV/0!</v>
      </c>
      <c r="BK100" s="517"/>
      <c r="BL100" s="580">
        <f t="shared" si="47"/>
        <v>0.82758620689655171</v>
      </c>
      <c r="BM100" s="580" t="str">
        <f t="shared" si="48"/>
        <v>No Prog ni Ejec</v>
      </c>
      <c r="BN100" s="580">
        <f t="shared" si="49"/>
        <v>0</v>
      </c>
      <c r="BO100" s="580" t="str">
        <f t="shared" si="50"/>
        <v>No Prog ni Ejec</v>
      </c>
      <c r="BP100" s="580">
        <f t="shared" si="51"/>
        <v>0</v>
      </c>
      <c r="BQ100" s="580" t="str">
        <f t="shared" si="52"/>
        <v>No Prog ni Ejec</v>
      </c>
      <c r="BR100" s="580">
        <f t="shared" si="53"/>
        <v>0</v>
      </c>
      <c r="BS100" s="580" t="str">
        <f t="shared" si="54"/>
        <v>No Prog ni Ejec</v>
      </c>
      <c r="BT100" s="525">
        <f t="shared" si="55"/>
        <v>0.58333333333333337</v>
      </c>
      <c r="BU100" s="526" t="str">
        <f t="shared" si="62"/>
        <v xml:space="preserve">No de Actos de cierre y/ o liquidaciones elaboradas / No. De Contratos terminados. </v>
      </c>
      <c r="BV100" s="527">
        <f t="shared" si="34"/>
        <v>0</v>
      </c>
      <c r="BW100" s="524"/>
      <c r="BX100" s="524"/>
      <c r="BY100" s="524"/>
      <c r="BZ100" s="524"/>
      <c r="CA100" s="524"/>
      <c r="CB100" s="524"/>
      <c r="CC100" s="524"/>
    </row>
    <row r="101" spans="1:81" s="457" customFormat="1" ht="165.75" x14ac:dyDescent="0.25">
      <c r="A101" s="513">
        <v>11700</v>
      </c>
      <c r="B101" s="514" t="s">
        <v>29</v>
      </c>
      <c r="C101" s="515" t="s">
        <v>328</v>
      </c>
      <c r="D101" s="514" t="s">
        <v>256</v>
      </c>
      <c r="E101" s="515" t="s">
        <v>407</v>
      </c>
      <c r="F101" s="514" t="s">
        <v>661</v>
      </c>
      <c r="G101" s="516" t="s">
        <v>123</v>
      </c>
      <c r="H101" s="517">
        <v>1</v>
      </c>
      <c r="I101" s="515" t="s">
        <v>409</v>
      </c>
      <c r="J101" s="514" t="s">
        <v>951</v>
      </c>
      <c r="K101" s="518">
        <v>400000000</v>
      </c>
      <c r="L101" s="519">
        <v>1</v>
      </c>
      <c r="M101" s="514" t="s">
        <v>45</v>
      </c>
      <c r="N101" s="514" t="s">
        <v>54</v>
      </c>
      <c r="O101" s="514" t="s">
        <v>37</v>
      </c>
      <c r="P101" s="514" t="s">
        <v>38</v>
      </c>
      <c r="Q101" s="514" t="s">
        <v>218</v>
      </c>
      <c r="R101" s="514" t="s">
        <v>664</v>
      </c>
      <c r="S101" s="514" t="s">
        <v>104</v>
      </c>
      <c r="T101" s="548">
        <v>9</v>
      </c>
      <c r="U101" s="520" t="str">
        <f t="shared" si="56"/>
        <v>Realizar capacitación para fortalecer las competencias laborales de los funcionarios</v>
      </c>
      <c r="V101" s="521">
        <f t="shared" si="57"/>
        <v>400000000</v>
      </c>
      <c r="W101" s="522" t="s">
        <v>114</v>
      </c>
      <c r="X101" s="547">
        <v>3</v>
      </c>
      <c r="Y101" s="529" t="str">
        <f>+U101</f>
        <v>Realizar capacitación para fortalecer las competencias laborales de los funcionarios</v>
      </c>
      <c r="Z101" s="518">
        <v>100000000</v>
      </c>
      <c r="AA101" s="516">
        <v>4</v>
      </c>
      <c r="AB101" s="571">
        <v>0</v>
      </c>
      <c r="AC101" s="523">
        <f t="shared" si="35"/>
        <v>1.3333333333333333</v>
      </c>
      <c r="AD101" s="523">
        <f t="shared" si="36"/>
        <v>0</v>
      </c>
      <c r="AE101" s="523">
        <f t="shared" si="37"/>
        <v>0.44444444444444442</v>
      </c>
      <c r="AF101" s="523">
        <f t="shared" si="38"/>
        <v>0</v>
      </c>
      <c r="AG101" s="528" t="s">
        <v>1005</v>
      </c>
      <c r="AH101" s="547">
        <v>2</v>
      </c>
      <c r="AI101" s="529" t="str">
        <f>+U101</f>
        <v>Realizar capacitación para fortalecer las competencias laborales de los funcionarios</v>
      </c>
      <c r="AJ101" s="518">
        <v>100000000</v>
      </c>
      <c r="AK101" s="524"/>
      <c r="AL101" s="524"/>
      <c r="AM101" s="523">
        <f t="shared" si="39"/>
        <v>0</v>
      </c>
      <c r="AN101" s="523">
        <f t="shared" si="40"/>
        <v>0</v>
      </c>
      <c r="AO101" s="523">
        <f t="shared" si="41"/>
        <v>0.44444444444444442</v>
      </c>
      <c r="AP101" s="523">
        <f t="shared" si="42"/>
        <v>0</v>
      </c>
      <c r="AQ101" s="523"/>
      <c r="AR101" s="547">
        <v>2</v>
      </c>
      <c r="AS101" s="529" t="str">
        <f>+U101</f>
        <v>Realizar capacitación para fortalecer las competencias laborales de los funcionarios</v>
      </c>
      <c r="AT101" s="518">
        <v>100000000</v>
      </c>
      <c r="AU101" s="516"/>
      <c r="AV101" s="571"/>
      <c r="AW101" s="523">
        <f t="shared" si="43"/>
        <v>0</v>
      </c>
      <c r="AX101" s="523">
        <f t="shared" si="44"/>
        <v>0</v>
      </c>
      <c r="AY101" s="523">
        <f t="shared" si="45"/>
        <v>0.44444444444444442</v>
      </c>
      <c r="AZ101" s="523">
        <f t="shared" si="46"/>
        <v>0</v>
      </c>
      <c r="BA101" s="523"/>
      <c r="BB101" s="547">
        <v>2</v>
      </c>
      <c r="BC101" s="529" t="str">
        <f>+U101</f>
        <v>Realizar capacitación para fortalecer las competencias laborales de los funcionarios</v>
      </c>
      <c r="BD101" s="518">
        <v>100000000</v>
      </c>
      <c r="BE101" s="524"/>
      <c r="BF101" s="524"/>
      <c r="BG101" s="517">
        <f t="shared" si="58"/>
        <v>0</v>
      </c>
      <c r="BH101" s="517">
        <f t="shared" si="59"/>
        <v>0</v>
      </c>
      <c r="BI101" s="517">
        <f t="shared" si="60"/>
        <v>0.44444444444444442</v>
      </c>
      <c r="BJ101" s="517">
        <f t="shared" si="61"/>
        <v>0</v>
      </c>
      <c r="BK101" s="517"/>
      <c r="BL101" s="580">
        <f t="shared" si="47"/>
        <v>1.3333333333333333</v>
      </c>
      <c r="BM101" s="580">
        <f t="shared" si="48"/>
        <v>0</v>
      </c>
      <c r="BN101" s="580">
        <f t="shared" si="49"/>
        <v>0</v>
      </c>
      <c r="BO101" s="580">
        <f t="shared" si="50"/>
        <v>0</v>
      </c>
      <c r="BP101" s="580">
        <f t="shared" si="51"/>
        <v>0</v>
      </c>
      <c r="BQ101" s="580">
        <f t="shared" si="52"/>
        <v>0</v>
      </c>
      <c r="BR101" s="580">
        <f t="shared" si="53"/>
        <v>0</v>
      </c>
      <c r="BS101" s="580">
        <f t="shared" si="54"/>
        <v>0</v>
      </c>
      <c r="BT101" s="553">
        <f>+(X101+AH101+(AR101/3))</f>
        <v>5.666666666666667</v>
      </c>
      <c r="BU101" s="526" t="str">
        <f t="shared" si="62"/>
        <v>Realizar capacitación para fortalecer las competencias laborales de los funcionarios</v>
      </c>
      <c r="BV101" s="527">
        <f t="shared" si="34"/>
        <v>233333333.33333334</v>
      </c>
      <c r="BW101" s="524"/>
      <c r="BX101" s="524"/>
      <c r="BY101" s="524"/>
      <c r="BZ101" s="524"/>
      <c r="CA101" s="524"/>
      <c r="CB101" s="524"/>
      <c r="CC101" s="524"/>
    </row>
    <row r="102" spans="1:81" s="457" customFormat="1" ht="127.5" x14ac:dyDescent="0.25">
      <c r="A102" s="513">
        <v>11700</v>
      </c>
      <c r="B102" s="514" t="s">
        <v>29</v>
      </c>
      <c r="C102" s="515" t="s">
        <v>328</v>
      </c>
      <c r="D102" s="514" t="s">
        <v>256</v>
      </c>
      <c r="E102" s="515" t="s">
        <v>407</v>
      </c>
      <c r="F102" s="514" t="s">
        <v>662</v>
      </c>
      <c r="G102" s="516" t="s">
        <v>123</v>
      </c>
      <c r="H102" s="517">
        <v>1</v>
      </c>
      <c r="I102" s="515" t="s">
        <v>629</v>
      </c>
      <c r="J102" s="514" t="s">
        <v>663</v>
      </c>
      <c r="K102" s="518">
        <f>400000000+50000000</f>
        <v>450000000</v>
      </c>
      <c r="L102" s="519">
        <v>1</v>
      </c>
      <c r="M102" s="514" t="s">
        <v>45</v>
      </c>
      <c r="N102" s="514" t="s">
        <v>54</v>
      </c>
      <c r="O102" s="514" t="s">
        <v>37</v>
      </c>
      <c r="P102" s="514" t="s">
        <v>38</v>
      </c>
      <c r="Q102" s="514" t="s">
        <v>218</v>
      </c>
      <c r="R102" s="514" t="s">
        <v>411</v>
      </c>
      <c r="S102" s="514" t="s">
        <v>104</v>
      </c>
      <c r="T102" s="519">
        <v>1</v>
      </c>
      <c r="U102" s="520" t="str">
        <f t="shared" si="56"/>
        <v>Realizar actividades para fortalecer la calidad de vida de los servidores públicos de la entidad, así como el clima organizacional</v>
      </c>
      <c r="V102" s="521">
        <f t="shared" si="57"/>
        <v>450000000</v>
      </c>
      <c r="W102" s="522" t="s">
        <v>114</v>
      </c>
      <c r="X102" s="517">
        <v>0.25</v>
      </c>
      <c r="Y102" s="522" t="s">
        <v>663</v>
      </c>
      <c r="Z102" s="518">
        <f>K102*X102</f>
        <v>112500000</v>
      </c>
      <c r="AA102" s="572">
        <v>0.24</v>
      </c>
      <c r="AB102" s="571">
        <v>0</v>
      </c>
      <c r="AC102" s="523">
        <f t="shared" si="35"/>
        <v>0.96</v>
      </c>
      <c r="AD102" s="523">
        <f t="shared" si="36"/>
        <v>0</v>
      </c>
      <c r="AE102" s="523">
        <f t="shared" si="37"/>
        <v>0.24</v>
      </c>
      <c r="AF102" s="523">
        <f t="shared" si="38"/>
        <v>0</v>
      </c>
      <c r="AG102" s="528" t="s">
        <v>1006</v>
      </c>
      <c r="AH102" s="517">
        <v>0.25</v>
      </c>
      <c r="AI102" s="522" t="s">
        <v>663</v>
      </c>
      <c r="AJ102" s="518">
        <v>112500000</v>
      </c>
      <c r="AK102" s="524"/>
      <c r="AL102" s="524"/>
      <c r="AM102" s="523">
        <f t="shared" si="39"/>
        <v>0</v>
      </c>
      <c r="AN102" s="523">
        <f t="shared" si="40"/>
        <v>0</v>
      </c>
      <c r="AO102" s="523">
        <f t="shared" si="41"/>
        <v>0.24</v>
      </c>
      <c r="AP102" s="523">
        <f t="shared" si="42"/>
        <v>0</v>
      </c>
      <c r="AQ102" s="523"/>
      <c r="AR102" s="517">
        <v>0.25</v>
      </c>
      <c r="AS102" s="522" t="s">
        <v>663</v>
      </c>
      <c r="AT102" s="518">
        <v>112500000</v>
      </c>
      <c r="AU102" s="572"/>
      <c r="AV102" s="571"/>
      <c r="AW102" s="523">
        <f t="shared" si="43"/>
        <v>0</v>
      </c>
      <c r="AX102" s="523">
        <f t="shared" si="44"/>
        <v>0</v>
      </c>
      <c r="AY102" s="523">
        <f t="shared" si="45"/>
        <v>0.24</v>
      </c>
      <c r="AZ102" s="523">
        <f t="shared" si="46"/>
        <v>0</v>
      </c>
      <c r="BA102" s="523"/>
      <c r="BB102" s="517">
        <v>0.25</v>
      </c>
      <c r="BC102" s="522" t="s">
        <v>663</v>
      </c>
      <c r="BD102" s="518">
        <v>112500000</v>
      </c>
      <c r="BE102" s="524"/>
      <c r="BF102" s="524"/>
      <c r="BG102" s="517">
        <f t="shared" si="58"/>
        <v>0</v>
      </c>
      <c r="BH102" s="517">
        <f t="shared" si="59"/>
        <v>0</v>
      </c>
      <c r="BI102" s="517">
        <f t="shared" si="60"/>
        <v>0.24</v>
      </c>
      <c r="BJ102" s="517">
        <f t="shared" si="61"/>
        <v>0</v>
      </c>
      <c r="BK102" s="517"/>
      <c r="BL102" s="580">
        <f t="shared" si="47"/>
        <v>0.96</v>
      </c>
      <c r="BM102" s="580">
        <f t="shared" si="48"/>
        <v>0</v>
      </c>
      <c r="BN102" s="580">
        <f t="shared" si="49"/>
        <v>0</v>
      </c>
      <c r="BO102" s="580">
        <f t="shared" si="50"/>
        <v>0</v>
      </c>
      <c r="BP102" s="580">
        <f t="shared" si="51"/>
        <v>0</v>
      </c>
      <c r="BQ102" s="580">
        <f t="shared" si="52"/>
        <v>0</v>
      </c>
      <c r="BR102" s="580">
        <f t="shared" si="53"/>
        <v>0</v>
      </c>
      <c r="BS102" s="580">
        <f t="shared" si="54"/>
        <v>0</v>
      </c>
      <c r="BT102" s="525">
        <f t="shared" si="55"/>
        <v>0.58333333333333337</v>
      </c>
      <c r="BU102" s="526" t="str">
        <f t="shared" si="62"/>
        <v>Realizar actividades para fortalecer la calidad de vida de los servidores públicos de la entidad, así como el clima organizacional</v>
      </c>
      <c r="BV102" s="527">
        <f t="shared" si="34"/>
        <v>262500000</v>
      </c>
      <c r="BW102" s="524"/>
      <c r="BX102" s="524"/>
      <c r="BY102" s="524"/>
      <c r="BZ102" s="524"/>
      <c r="CA102" s="524"/>
      <c r="CB102" s="524"/>
      <c r="CC102" s="524"/>
    </row>
    <row r="103" spans="1:81" s="457" customFormat="1" ht="102" x14ac:dyDescent="0.25">
      <c r="A103" s="513">
        <v>11700</v>
      </c>
      <c r="B103" s="514" t="s">
        <v>29</v>
      </c>
      <c r="C103" s="515" t="s">
        <v>328</v>
      </c>
      <c r="D103" s="514" t="s">
        <v>256</v>
      </c>
      <c r="E103" s="515" t="s">
        <v>412</v>
      </c>
      <c r="F103" s="514" t="s">
        <v>413</v>
      </c>
      <c r="G103" s="516" t="s">
        <v>123</v>
      </c>
      <c r="H103" s="517">
        <v>1</v>
      </c>
      <c r="I103" s="515" t="s">
        <v>416</v>
      </c>
      <c r="J103" s="514" t="s">
        <v>565</v>
      </c>
      <c r="K103" s="518">
        <f>6000000+1990560</f>
        <v>7990560</v>
      </c>
      <c r="L103" s="519">
        <v>1</v>
      </c>
      <c r="M103" s="514" t="s">
        <v>45</v>
      </c>
      <c r="N103" s="514" t="s">
        <v>54</v>
      </c>
      <c r="O103" s="514" t="s">
        <v>37</v>
      </c>
      <c r="P103" s="514" t="s">
        <v>38</v>
      </c>
      <c r="Q103" s="514" t="s">
        <v>218</v>
      </c>
      <c r="R103" s="514" t="s">
        <v>182</v>
      </c>
      <c r="S103" s="514" t="s">
        <v>104</v>
      </c>
      <c r="T103" s="519">
        <v>1</v>
      </c>
      <c r="U103" s="520" t="str">
        <f t="shared" si="56"/>
        <v>Realización de Exámenes de Salud Ocupacional (pre-ocupacionales, exámenes médicos post-ocupacionales y exámenes médicos post-incapacidad)</v>
      </c>
      <c r="V103" s="521">
        <f t="shared" si="57"/>
        <v>7990560</v>
      </c>
      <c r="W103" s="522" t="s">
        <v>114</v>
      </c>
      <c r="X103" s="517">
        <v>0.25</v>
      </c>
      <c r="Y103" s="522" t="s">
        <v>565</v>
      </c>
      <c r="Z103" s="518">
        <f>+K103*X103</f>
        <v>1997640</v>
      </c>
      <c r="AA103" s="618">
        <f>(AB103/Z103)*25%</f>
        <v>8.2317134218377691E-2</v>
      </c>
      <c r="AB103" s="571">
        <v>657760</v>
      </c>
      <c r="AC103" s="523">
        <f t="shared" si="35"/>
        <v>0.32926853687351076</v>
      </c>
      <c r="AD103" s="523">
        <f t="shared" si="36"/>
        <v>0.32926853687351076</v>
      </c>
      <c r="AE103" s="523">
        <f t="shared" si="37"/>
        <v>8.2317134218377691E-2</v>
      </c>
      <c r="AF103" s="523">
        <f t="shared" si="38"/>
        <v>8.2317134218377691E-2</v>
      </c>
      <c r="AG103" s="528" t="s">
        <v>1007</v>
      </c>
      <c r="AH103" s="517">
        <v>0.25</v>
      </c>
      <c r="AI103" s="522" t="s">
        <v>565</v>
      </c>
      <c r="AJ103" s="518">
        <v>1997640</v>
      </c>
      <c r="AK103" s="524"/>
      <c r="AL103" s="524"/>
      <c r="AM103" s="523">
        <f t="shared" si="39"/>
        <v>0</v>
      </c>
      <c r="AN103" s="523">
        <f t="shared" si="40"/>
        <v>0</v>
      </c>
      <c r="AO103" s="523">
        <f t="shared" si="41"/>
        <v>8.2317134218377691E-2</v>
      </c>
      <c r="AP103" s="523">
        <f t="shared" si="42"/>
        <v>8.2317134218377691E-2</v>
      </c>
      <c r="AQ103" s="523"/>
      <c r="AR103" s="517">
        <v>0.25</v>
      </c>
      <c r="AS103" s="522" t="s">
        <v>565</v>
      </c>
      <c r="AT103" s="518">
        <v>1997640</v>
      </c>
      <c r="AU103" s="516"/>
      <c r="AV103" s="571"/>
      <c r="AW103" s="523">
        <f t="shared" si="43"/>
        <v>0</v>
      </c>
      <c r="AX103" s="523">
        <f t="shared" si="44"/>
        <v>0</v>
      </c>
      <c r="AY103" s="523">
        <f t="shared" si="45"/>
        <v>8.2317134218377691E-2</v>
      </c>
      <c r="AZ103" s="523">
        <f t="shared" si="46"/>
        <v>8.2317134218377691E-2</v>
      </c>
      <c r="BA103" s="523"/>
      <c r="BB103" s="517">
        <v>0.25</v>
      </c>
      <c r="BC103" s="522" t="s">
        <v>565</v>
      </c>
      <c r="BD103" s="518">
        <v>1997640</v>
      </c>
      <c r="BE103" s="524"/>
      <c r="BF103" s="524"/>
      <c r="BG103" s="517">
        <f t="shared" si="58"/>
        <v>0</v>
      </c>
      <c r="BH103" s="517">
        <f t="shared" si="59"/>
        <v>0</v>
      </c>
      <c r="BI103" s="517">
        <f t="shared" si="60"/>
        <v>8.2317134218377691E-2</v>
      </c>
      <c r="BJ103" s="517">
        <f t="shared" si="61"/>
        <v>8.2317134218377691E-2</v>
      </c>
      <c r="BK103" s="517"/>
      <c r="BL103" s="580">
        <f t="shared" si="47"/>
        <v>0.32926853687351076</v>
      </c>
      <c r="BM103" s="580">
        <f t="shared" si="48"/>
        <v>0.32926853687351076</v>
      </c>
      <c r="BN103" s="580">
        <f t="shared" si="49"/>
        <v>0</v>
      </c>
      <c r="BO103" s="580">
        <f t="shared" si="50"/>
        <v>0</v>
      </c>
      <c r="BP103" s="580">
        <f t="shared" si="51"/>
        <v>0</v>
      </c>
      <c r="BQ103" s="580">
        <f t="shared" si="52"/>
        <v>0</v>
      </c>
      <c r="BR103" s="580">
        <f t="shared" si="53"/>
        <v>0</v>
      </c>
      <c r="BS103" s="580">
        <f t="shared" si="54"/>
        <v>0</v>
      </c>
      <c r="BT103" s="525">
        <f t="shared" si="55"/>
        <v>0.58333333333333337</v>
      </c>
      <c r="BU103" s="526" t="str">
        <f t="shared" si="62"/>
        <v>Realización de Exámenes de Salud Ocupacional (pre-ocupacionales, exámenes médicos post-ocupacionales y exámenes médicos post-incapacidad)</v>
      </c>
      <c r="BV103" s="527">
        <f t="shared" si="34"/>
        <v>4661160</v>
      </c>
      <c r="BW103" s="524"/>
      <c r="BX103" s="524"/>
      <c r="BY103" s="524"/>
      <c r="BZ103" s="524"/>
      <c r="CA103" s="524"/>
      <c r="CB103" s="524"/>
      <c r="CC103" s="524"/>
    </row>
    <row r="104" spans="1:81" s="457" customFormat="1" ht="89.25" x14ac:dyDescent="0.25">
      <c r="A104" s="513">
        <v>11700</v>
      </c>
      <c r="B104" s="514" t="s">
        <v>29</v>
      </c>
      <c r="C104" s="515" t="s">
        <v>328</v>
      </c>
      <c r="D104" s="514" t="s">
        <v>256</v>
      </c>
      <c r="E104" s="515" t="s">
        <v>414</v>
      </c>
      <c r="F104" s="514" t="s">
        <v>408</v>
      </c>
      <c r="G104" s="516" t="s">
        <v>124</v>
      </c>
      <c r="H104" s="515">
        <v>12</v>
      </c>
      <c r="I104" s="515" t="s">
        <v>415</v>
      </c>
      <c r="J104" s="514" t="s">
        <v>417</v>
      </c>
      <c r="K104" s="518">
        <v>62099999.999999993</v>
      </c>
      <c r="L104" s="519">
        <v>1</v>
      </c>
      <c r="M104" s="514" t="s">
        <v>45</v>
      </c>
      <c r="N104" s="514" t="s">
        <v>54</v>
      </c>
      <c r="O104" s="514" t="s">
        <v>37</v>
      </c>
      <c r="P104" s="514" t="s">
        <v>38</v>
      </c>
      <c r="Q104" s="514" t="s">
        <v>218</v>
      </c>
      <c r="R104" s="514" t="s">
        <v>658</v>
      </c>
      <c r="S104" s="514" t="s">
        <v>104</v>
      </c>
      <c r="T104" s="515">
        <v>12</v>
      </c>
      <c r="U104" s="520" t="str">
        <f t="shared" si="56"/>
        <v>Generar y Liquidar Nomina ADRES</v>
      </c>
      <c r="V104" s="521">
        <f t="shared" si="57"/>
        <v>62099999.999999993</v>
      </c>
      <c r="W104" s="522" t="s">
        <v>114</v>
      </c>
      <c r="X104" s="547">
        <v>3</v>
      </c>
      <c r="Y104" s="522" t="s">
        <v>417</v>
      </c>
      <c r="Z104" s="518">
        <v>15524999.999999998</v>
      </c>
      <c r="AA104" s="516">
        <v>4</v>
      </c>
      <c r="AB104" s="571">
        <v>0</v>
      </c>
      <c r="AC104" s="523">
        <f t="shared" si="35"/>
        <v>1.3333333333333333</v>
      </c>
      <c r="AD104" s="523">
        <f t="shared" si="36"/>
        <v>0</v>
      </c>
      <c r="AE104" s="523">
        <f t="shared" si="37"/>
        <v>0.33333333333333331</v>
      </c>
      <c r="AF104" s="523">
        <f t="shared" si="38"/>
        <v>0</v>
      </c>
      <c r="AG104" s="528" t="s">
        <v>907</v>
      </c>
      <c r="AH104" s="547">
        <v>3</v>
      </c>
      <c r="AI104" s="522" t="s">
        <v>417</v>
      </c>
      <c r="AJ104" s="518">
        <v>15524999.999999998</v>
      </c>
      <c r="AK104" s="524"/>
      <c r="AL104" s="524"/>
      <c r="AM104" s="523">
        <f t="shared" si="39"/>
        <v>0</v>
      </c>
      <c r="AN104" s="523">
        <f t="shared" si="40"/>
        <v>0</v>
      </c>
      <c r="AO104" s="523">
        <f t="shared" si="41"/>
        <v>0.33333333333333331</v>
      </c>
      <c r="AP104" s="523">
        <f t="shared" si="42"/>
        <v>0</v>
      </c>
      <c r="AQ104" s="523"/>
      <c r="AR104" s="547">
        <v>3</v>
      </c>
      <c r="AS104" s="522" t="s">
        <v>417</v>
      </c>
      <c r="AT104" s="518">
        <v>15524999.999999998</v>
      </c>
      <c r="AU104" s="516"/>
      <c r="AV104" s="571"/>
      <c r="AW104" s="523">
        <f t="shared" si="43"/>
        <v>0</v>
      </c>
      <c r="AX104" s="523">
        <f t="shared" si="44"/>
        <v>0</v>
      </c>
      <c r="AY104" s="523">
        <f t="shared" si="45"/>
        <v>0.33333333333333331</v>
      </c>
      <c r="AZ104" s="523">
        <f t="shared" si="46"/>
        <v>0</v>
      </c>
      <c r="BA104" s="523"/>
      <c r="BB104" s="547">
        <v>3</v>
      </c>
      <c r="BC104" s="522" t="s">
        <v>417</v>
      </c>
      <c r="BD104" s="518">
        <v>15524999.999999998</v>
      </c>
      <c r="BE104" s="524"/>
      <c r="BF104" s="524"/>
      <c r="BG104" s="517">
        <f t="shared" si="58"/>
        <v>0</v>
      </c>
      <c r="BH104" s="517">
        <f t="shared" si="59"/>
        <v>0</v>
      </c>
      <c r="BI104" s="517">
        <f t="shared" si="60"/>
        <v>0.33333333333333331</v>
      </c>
      <c r="BJ104" s="517">
        <f t="shared" si="61"/>
        <v>0</v>
      </c>
      <c r="BK104" s="517"/>
      <c r="BL104" s="580">
        <f t="shared" si="47"/>
        <v>1.3333333333333333</v>
      </c>
      <c r="BM104" s="580">
        <f t="shared" si="48"/>
        <v>0</v>
      </c>
      <c r="BN104" s="580">
        <f t="shared" si="49"/>
        <v>0</v>
      </c>
      <c r="BO104" s="580">
        <f t="shared" si="50"/>
        <v>0</v>
      </c>
      <c r="BP104" s="580">
        <f t="shared" si="51"/>
        <v>0</v>
      </c>
      <c r="BQ104" s="580">
        <f t="shared" si="52"/>
        <v>0</v>
      </c>
      <c r="BR104" s="580">
        <f t="shared" si="53"/>
        <v>0</v>
      </c>
      <c r="BS104" s="580">
        <f t="shared" si="54"/>
        <v>0</v>
      </c>
      <c r="BT104" s="553">
        <f t="shared" si="55"/>
        <v>7</v>
      </c>
      <c r="BU104" s="526" t="str">
        <f t="shared" si="62"/>
        <v>Generar y Liquidar Nomina ADRES</v>
      </c>
      <c r="BV104" s="527">
        <f t="shared" si="34"/>
        <v>36224999.999999993</v>
      </c>
      <c r="BW104" s="524"/>
      <c r="BX104" s="524"/>
      <c r="BY104" s="524"/>
      <c r="BZ104" s="524"/>
      <c r="CA104" s="524"/>
      <c r="CB104" s="524"/>
      <c r="CC104" s="524"/>
    </row>
    <row r="105" spans="1:81" s="457" customFormat="1" ht="127.5" x14ac:dyDescent="0.25">
      <c r="A105" s="513">
        <v>11700</v>
      </c>
      <c r="B105" s="514" t="s">
        <v>29</v>
      </c>
      <c r="C105" s="515" t="s">
        <v>328</v>
      </c>
      <c r="D105" s="514" t="s">
        <v>256</v>
      </c>
      <c r="E105" s="515" t="s">
        <v>418</v>
      </c>
      <c r="F105" s="514" t="s">
        <v>824</v>
      </c>
      <c r="G105" s="516" t="s">
        <v>659</v>
      </c>
      <c r="H105" s="517">
        <v>1</v>
      </c>
      <c r="I105" s="515" t="s">
        <v>420</v>
      </c>
      <c r="J105" s="514" t="s">
        <v>825</v>
      </c>
      <c r="K105" s="518">
        <v>0</v>
      </c>
      <c r="L105" s="519">
        <v>1</v>
      </c>
      <c r="M105" s="514" t="s">
        <v>45</v>
      </c>
      <c r="N105" s="514" t="s">
        <v>54</v>
      </c>
      <c r="O105" s="514" t="s">
        <v>37</v>
      </c>
      <c r="P105" s="514" t="s">
        <v>38</v>
      </c>
      <c r="Q105" s="514" t="s">
        <v>218</v>
      </c>
      <c r="R105" s="514" t="s">
        <v>827</v>
      </c>
      <c r="S105" s="514" t="s">
        <v>104</v>
      </c>
      <c r="T105" s="517">
        <v>1</v>
      </c>
      <c r="U105" s="520" t="str">
        <f t="shared" si="56"/>
        <v>Consolidar, organizar y actualizar los expedientes de hojas de vida de los funcionarios de planta de la ADRES</v>
      </c>
      <c r="V105" s="521">
        <f t="shared" si="57"/>
        <v>0</v>
      </c>
      <c r="W105" s="522" t="s">
        <v>114</v>
      </c>
      <c r="X105" s="517">
        <v>0.25</v>
      </c>
      <c r="Y105" s="522" t="s">
        <v>566</v>
      </c>
      <c r="Z105" s="518">
        <v>0</v>
      </c>
      <c r="AA105" s="572">
        <v>0.25</v>
      </c>
      <c r="AB105" s="571">
        <v>0</v>
      </c>
      <c r="AC105" s="523">
        <f t="shared" si="35"/>
        <v>1</v>
      </c>
      <c r="AD105" s="523" t="e">
        <f>+(AB105/Z105)</f>
        <v>#DIV/0!</v>
      </c>
      <c r="AE105" s="523">
        <f t="shared" si="37"/>
        <v>0.25</v>
      </c>
      <c r="AF105" s="523" t="e">
        <f>+(AB105/V105)</f>
        <v>#DIV/0!</v>
      </c>
      <c r="AG105" s="528" t="s">
        <v>1008</v>
      </c>
      <c r="AH105" s="517">
        <v>0.25</v>
      </c>
      <c r="AI105" s="522" t="s">
        <v>566</v>
      </c>
      <c r="AJ105" s="518">
        <v>0</v>
      </c>
      <c r="AK105" s="524"/>
      <c r="AL105" s="524"/>
      <c r="AM105" s="523">
        <f t="shared" si="39"/>
        <v>0</v>
      </c>
      <c r="AN105" s="523" t="e">
        <f t="shared" si="40"/>
        <v>#DIV/0!</v>
      </c>
      <c r="AO105" s="523">
        <f t="shared" si="41"/>
        <v>0.25</v>
      </c>
      <c r="AP105" s="523" t="e">
        <f t="shared" si="42"/>
        <v>#DIV/0!</v>
      </c>
      <c r="AQ105" s="523"/>
      <c r="AR105" s="517">
        <v>0.25</v>
      </c>
      <c r="AS105" s="522" t="s">
        <v>566</v>
      </c>
      <c r="AT105" s="518">
        <v>0</v>
      </c>
      <c r="AU105" s="572"/>
      <c r="AV105" s="571"/>
      <c r="AW105" s="523">
        <f t="shared" si="43"/>
        <v>0</v>
      </c>
      <c r="AX105" s="523" t="e">
        <f>+(AV105/AT105)</f>
        <v>#DIV/0!</v>
      </c>
      <c r="AY105" s="523">
        <f t="shared" si="45"/>
        <v>0.25</v>
      </c>
      <c r="AZ105" s="523" t="e">
        <f t="shared" si="46"/>
        <v>#DIV/0!</v>
      </c>
      <c r="BA105" s="523"/>
      <c r="BB105" s="517">
        <v>0.25</v>
      </c>
      <c r="BC105" s="522" t="s">
        <v>566</v>
      </c>
      <c r="BD105" s="518">
        <v>0</v>
      </c>
      <c r="BE105" s="524"/>
      <c r="BF105" s="524"/>
      <c r="BG105" s="517">
        <f t="shared" si="58"/>
        <v>0</v>
      </c>
      <c r="BH105" s="517" t="e">
        <f t="shared" si="59"/>
        <v>#DIV/0!</v>
      </c>
      <c r="BI105" s="517">
        <f t="shared" si="60"/>
        <v>0.25</v>
      </c>
      <c r="BJ105" s="517" t="e">
        <f t="shared" si="61"/>
        <v>#DIV/0!</v>
      </c>
      <c r="BK105" s="517"/>
      <c r="BL105" s="580">
        <f t="shared" si="47"/>
        <v>1</v>
      </c>
      <c r="BM105" s="580" t="str">
        <f t="shared" si="48"/>
        <v>No Prog ni Ejec</v>
      </c>
      <c r="BN105" s="580">
        <f t="shared" si="49"/>
        <v>0</v>
      </c>
      <c r="BO105" s="580" t="str">
        <f t="shared" si="50"/>
        <v>No Prog ni Ejec</v>
      </c>
      <c r="BP105" s="580">
        <f t="shared" si="51"/>
        <v>0</v>
      </c>
      <c r="BQ105" s="580" t="str">
        <f t="shared" si="52"/>
        <v>No Prog ni Ejec</v>
      </c>
      <c r="BR105" s="580">
        <f t="shared" si="53"/>
        <v>0</v>
      </c>
      <c r="BS105" s="580" t="str">
        <f t="shared" si="54"/>
        <v>No Prog ni Ejec</v>
      </c>
      <c r="BT105" s="525">
        <f t="shared" si="55"/>
        <v>0.58333333333333337</v>
      </c>
      <c r="BU105" s="526" t="str">
        <f t="shared" si="62"/>
        <v>Consolidar, organizar y actualizar los expedientes de hojas de vida de los funcionarios de planta de la ADRES</v>
      </c>
      <c r="BV105" s="527">
        <f t="shared" si="34"/>
        <v>0</v>
      </c>
      <c r="BW105" s="524"/>
      <c r="BX105" s="524"/>
      <c r="BY105" s="524"/>
      <c r="BZ105" s="524"/>
      <c r="CA105" s="524"/>
      <c r="CB105" s="524"/>
      <c r="CC105" s="524"/>
    </row>
    <row r="106" spans="1:81" s="457" customFormat="1" ht="89.25" x14ac:dyDescent="0.25">
      <c r="A106" s="513">
        <v>11700</v>
      </c>
      <c r="B106" s="514" t="s">
        <v>29</v>
      </c>
      <c r="C106" s="515" t="s">
        <v>328</v>
      </c>
      <c r="D106" s="514" t="s">
        <v>256</v>
      </c>
      <c r="E106" s="515" t="s">
        <v>418</v>
      </c>
      <c r="F106" s="514" t="s">
        <v>419</v>
      </c>
      <c r="G106" s="516" t="s">
        <v>659</v>
      </c>
      <c r="H106" s="517">
        <v>1</v>
      </c>
      <c r="I106" s="515" t="s">
        <v>630</v>
      </c>
      <c r="J106" s="514" t="s">
        <v>421</v>
      </c>
      <c r="K106" s="518">
        <v>0</v>
      </c>
      <c r="L106" s="519">
        <v>1</v>
      </c>
      <c r="M106" s="514" t="s">
        <v>45</v>
      </c>
      <c r="N106" s="514" t="s">
        <v>54</v>
      </c>
      <c r="O106" s="514" t="s">
        <v>37</v>
      </c>
      <c r="P106" s="514" t="s">
        <v>38</v>
      </c>
      <c r="Q106" s="514" t="s">
        <v>218</v>
      </c>
      <c r="R106" s="514" t="s">
        <v>893</v>
      </c>
      <c r="S106" s="514" t="s">
        <v>104</v>
      </c>
      <c r="T106" s="517">
        <v>1</v>
      </c>
      <c r="U106" s="520" t="str">
        <f t="shared" si="56"/>
        <v>Expedición de Certificaciones de Personal</v>
      </c>
      <c r="V106" s="521">
        <f t="shared" si="57"/>
        <v>0</v>
      </c>
      <c r="W106" s="522" t="s">
        <v>114</v>
      </c>
      <c r="X106" s="517">
        <v>0.25</v>
      </c>
      <c r="Y106" s="522" t="s">
        <v>421</v>
      </c>
      <c r="Z106" s="518">
        <v>0</v>
      </c>
      <c r="AA106" s="572">
        <v>0.22500000000000001</v>
      </c>
      <c r="AB106" s="571">
        <v>0</v>
      </c>
      <c r="AC106" s="523">
        <f t="shared" si="35"/>
        <v>0.9</v>
      </c>
      <c r="AD106" s="523" t="e">
        <f t="shared" si="36"/>
        <v>#DIV/0!</v>
      </c>
      <c r="AE106" s="523">
        <f t="shared" si="37"/>
        <v>0.22500000000000001</v>
      </c>
      <c r="AF106" s="523" t="e">
        <f t="shared" si="38"/>
        <v>#DIV/0!</v>
      </c>
      <c r="AG106" s="528" t="s">
        <v>908</v>
      </c>
      <c r="AH106" s="517">
        <v>0.25</v>
      </c>
      <c r="AI106" s="522" t="s">
        <v>421</v>
      </c>
      <c r="AJ106" s="518">
        <v>0</v>
      </c>
      <c r="AK106" s="524"/>
      <c r="AL106" s="524"/>
      <c r="AM106" s="523">
        <f t="shared" si="39"/>
        <v>0</v>
      </c>
      <c r="AN106" s="523" t="e">
        <f t="shared" si="40"/>
        <v>#DIV/0!</v>
      </c>
      <c r="AO106" s="523">
        <f t="shared" si="41"/>
        <v>0.22500000000000001</v>
      </c>
      <c r="AP106" s="523" t="e">
        <f t="shared" si="42"/>
        <v>#DIV/0!</v>
      </c>
      <c r="AQ106" s="523"/>
      <c r="AR106" s="517">
        <v>0.25</v>
      </c>
      <c r="AS106" s="522" t="s">
        <v>421</v>
      </c>
      <c r="AT106" s="518">
        <v>0</v>
      </c>
      <c r="AU106" s="572"/>
      <c r="AV106" s="571"/>
      <c r="AW106" s="523">
        <f t="shared" si="43"/>
        <v>0</v>
      </c>
      <c r="AX106" s="523" t="e">
        <f t="shared" si="44"/>
        <v>#DIV/0!</v>
      </c>
      <c r="AY106" s="523">
        <f t="shared" si="45"/>
        <v>0.22500000000000001</v>
      </c>
      <c r="AZ106" s="523" t="e">
        <f t="shared" si="46"/>
        <v>#DIV/0!</v>
      </c>
      <c r="BA106" s="523"/>
      <c r="BB106" s="517">
        <v>0.25</v>
      </c>
      <c r="BC106" s="522" t="s">
        <v>421</v>
      </c>
      <c r="BD106" s="518">
        <v>0</v>
      </c>
      <c r="BE106" s="524"/>
      <c r="BF106" s="524"/>
      <c r="BG106" s="517">
        <f t="shared" si="58"/>
        <v>0</v>
      </c>
      <c r="BH106" s="517" t="e">
        <f t="shared" si="59"/>
        <v>#DIV/0!</v>
      </c>
      <c r="BI106" s="517">
        <f t="shared" si="60"/>
        <v>0.22500000000000001</v>
      </c>
      <c r="BJ106" s="517" t="e">
        <f t="shared" si="61"/>
        <v>#DIV/0!</v>
      </c>
      <c r="BK106" s="517"/>
      <c r="BL106" s="580">
        <f t="shared" si="47"/>
        <v>0.9</v>
      </c>
      <c r="BM106" s="580" t="str">
        <f t="shared" si="48"/>
        <v>No Prog ni Ejec</v>
      </c>
      <c r="BN106" s="580">
        <f t="shared" si="49"/>
        <v>0</v>
      </c>
      <c r="BO106" s="580" t="str">
        <f t="shared" si="50"/>
        <v>No Prog ni Ejec</v>
      </c>
      <c r="BP106" s="580">
        <f t="shared" si="51"/>
        <v>0</v>
      </c>
      <c r="BQ106" s="580" t="str">
        <f t="shared" si="52"/>
        <v>No Prog ni Ejec</v>
      </c>
      <c r="BR106" s="580">
        <f t="shared" si="53"/>
        <v>0</v>
      </c>
      <c r="BS106" s="580" t="str">
        <f t="shared" si="54"/>
        <v>No Prog ni Ejec</v>
      </c>
      <c r="BT106" s="525">
        <f t="shared" si="55"/>
        <v>0.58333333333333337</v>
      </c>
      <c r="BU106" s="526" t="str">
        <f t="shared" si="62"/>
        <v>Expedición de Certificaciones de Personal</v>
      </c>
      <c r="BV106" s="527">
        <f t="shared" si="34"/>
        <v>0</v>
      </c>
      <c r="BW106" s="524"/>
      <c r="BX106" s="524"/>
      <c r="BY106" s="524"/>
      <c r="BZ106" s="524"/>
      <c r="CA106" s="524"/>
      <c r="CB106" s="524"/>
      <c r="CC106" s="524"/>
    </row>
    <row r="107" spans="1:81" s="457" customFormat="1" ht="89.25" x14ac:dyDescent="0.25">
      <c r="A107" s="513">
        <v>11700</v>
      </c>
      <c r="B107" s="514" t="s">
        <v>29</v>
      </c>
      <c r="C107" s="515" t="s">
        <v>328</v>
      </c>
      <c r="D107" s="514" t="s">
        <v>256</v>
      </c>
      <c r="E107" s="515" t="s">
        <v>422</v>
      </c>
      <c r="F107" s="514" t="s">
        <v>755</v>
      </c>
      <c r="G107" s="516" t="s">
        <v>123</v>
      </c>
      <c r="H107" s="519">
        <v>1</v>
      </c>
      <c r="I107" s="515" t="s">
        <v>423</v>
      </c>
      <c r="J107" s="514" t="s">
        <v>756</v>
      </c>
      <c r="K107" s="518">
        <v>100000000</v>
      </c>
      <c r="L107" s="519">
        <v>1</v>
      </c>
      <c r="M107" s="514" t="s">
        <v>48</v>
      </c>
      <c r="N107" s="514" t="s">
        <v>68</v>
      </c>
      <c r="O107" s="514" t="s">
        <v>37</v>
      </c>
      <c r="P107" s="514" t="s">
        <v>38</v>
      </c>
      <c r="Q107" s="514" t="s">
        <v>229</v>
      </c>
      <c r="R107" s="514" t="s">
        <v>670</v>
      </c>
      <c r="S107" s="514" t="s">
        <v>99</v>
      </c>
      <c r="T107" s="517">
        <v>1</v>
      </c>
      <c r="U107" s="520" t="str">
        <f t="shared" si="56"/>
        <v>Publicación Actos Administrativos Diario Oficial y diario de amplia circulación</v>
      </c>
      <c r="V107" s="521">
        <f t="shared" si="57"/>
        <v>100000000</v>
      </c>
      <c r="W107" s="522" t="s">
        <v>114</v>
      </c>
      <c r="X107" s="517">
        <v>0</v>
      </c>
      <c r="Y107" s="522" t="s">
        <v>424</v>
      </c>
      <c r="Z107" s="518">
        <v>0</v>
      </c>
      <c r="AA107" s="572">
        <f>2/2</f>
        <v>1</v>
      </c>
      <c r="AB107" s="518">
        <v>57600</v>
      </c>
      <c r="AC107" s="523" t="e">
        <f t="shared" si="35"/>
        <v>#DIV/0!</v>
      </c>
      <c r="AD107" s="523" t="e">
        <f t="shared" si="36"/>
        <v>#DIV/0!</v>
      </c>
      <c r="AE107" s="523">
        <f t="shared" si="37"/>
        <v>1</v>
      </c>
      <c r="AF107" s="523">
        <f>+(AB107/V107)</f>
        <v>5.7600000000000001E-4</v>
      </c>
      <c r="AG107" s="528" t="s">
        <v>901</v>
      </c>
      <c r="AH107" s="517">
        <v>0.5</v>
      </c>
      <c r="AI107" s="522" t="s">
        <v>424</v>
      </c>
      <c r="AJ107" s="518">
        <v>50000000</v>
      </c>
      <c r="AK107" s="524"/>
      <c r="AL107" s="524"/>
      <c r="AM107" s="523">
        <f t="shared" si="39"/>
        <v>0</v>
      </c>
      <c r="AN107" s="523">
        <f t="shared" si="40"/>
        <v>0</v>
      </c>
      <c r="AO107" s="523">
        <f t="shared" si="41"/>
        <v>1</v>
      </c>
      <c r="AP107" s="523">
        <f t="shared" si="42"/>
        <v>5.7600000000000001E-4</v>
      </c>
      <c r="AQ107" s="523"/>
      <c r="AR107" s="517"/>
      <c r="AS107" s="522" t="s">
        <v>424</v>
      </c>
      <c r="AT107" s="518">
        <v>0</v>
      </c>
      <c r="AU107" s="516"/>
      <c r="AV107" s="571"/>
      <c r="AW107" s="523" t="e">
        <f t="shared" si="43"/>
        <v>#DIV/0!</v>
      </c>
      <c r="AX107" s="523" t="e">
        <f t="shared" si="44"/>
        <v>#DIV/0!</v>
      </c>
      <c r="AY107" s="523">
        <f t="shared" si="45"/>
        <v>1</v>
      </c>
      <c r="AZ107" s="523">
        <f t="shared" si="46"/>
        <v>5.7600000000000001E-4</v>
      </c>
      <c r="BA107" s="523"/>
      <c r="BB107" s="517">
        <v>0.5</v>
      </c>
      <c r="BC107" s="522" t="s">
        <v>424</v>
      </c>
      <c r="BD107" s="518">
        <v>50000000</v>
      </c>
      <c r="BE107" s="524"/>
      <c r="BF107" s="524"/>
      <c r="BG107" s="517">
        <f t="shared" si="58"/>
        <v>0</v>
      </c>
      <c r="BH107" s="517">
        <f t="shared" si="59"/>
        <v>0</v>
      </c>
      <c r="BI107" s="517">
        <f t="shared" si="60"/>
        <v>1</v>
      </c>
      <c r="BJ107" s="517">
        <f t="shared" si="61"/>
        <v>5.7600000000000001E-4</v>
      </c>
      <c r="BK107" s="517"/>
      <c r="BL107" s="580" t="str">
        <f t="shared" si="47"/>
        <v>No Prog, Ejec=  1</v>
      </c>
      <c r="BM107" s="580" t="str">
        <f>IF(AND(Z107=0,AB107=0),"No Prog ni Ejec",IF(Z107=0,CONCATENATE("No Prog, Ejec=  ",AB107),AB107/Z107))</f>
        <v>No Prog, Ejec=  57600</v>
      </c>
      <c r="BN107" s="580">
        <f t="shared" si="49"/>
        <v>0</v>
      </c>
      <c r="BO107" s="580">
        <f t="shared" si="50"/>
        <v>0</v>
      </c>
      <c r="BP107" s="580" t="str">
        <f t="shared" si="51"/>
        <v>No Prog ni Ejec</v>
      </c>
      <c r="BQ107" s="580" t="str">
        <f t="shared" si="52"/>
        <v>No Prog ni Ejec</v>
      </c>
      <c r="BR107" s="580">
        <f t="shared" si="53"/>
        <v>0</v>
      </c>
      <c r="BS107" s="580">
        <f t="shared" si="54"/>
        <v>0</v>
      </c>
      <c r="BT107" s="525">
        <f t="shared" si="55"/>
        <v>0.5</v>
      </c>
      <c r="BU107" s="526" t="str">
        <f t="shared" si="62"/>
        <v>Publicación Actos Administrativos Diario Oficial y diario de amplia circulación</v>
      </c>
      <c r="BV107" s="527">
        <f t="shared" si="34"/>
        <v>50000000</v>
      </c>
      <c r="BW107" s="524"/>
      <c r="BX107" s="524"/>
      <c r="BY107" s="524"/>
      <c r="BZ107" s="524"/>
      <c r="CA107" s="524"/>
      <c r="CB107" s="524"/>
      <c r="CC107" s="524"/>
    </row>
    <row r="108" spans="1:81" s="457" customFormat="1" ht="89.25" x14ac:dyDescent="0.25">
      <c r="A108" s="513">
        <v>11700</v>
      </c>
      <c r="B108" s="514" t="s">
        <v>29</v>
      </c>
      <c r="C108" s="515" t="s">
        <v>328</v>
      </c>
      <c r="D108" s="514" t="s">
        <v>256</v>
      </c>
      <c r="E108" s="515" t="s">
        <v>425</v>
      </c>
      <c r="F108" s="514" t="s">
        <v>426</v>
      </c>
      <c r="G108" s="516" t="s">
        <v>123</v>
      </c>
      <c r="H108" s="517">
        <v>1</v>
      </c>
      <c r="I108" s="515" t="s">
        <v>427</v>
      </c>
      <c r="J108" s="514" t="s">
        <v>428</v>
      </c>
      <c r="K108" s="518">
        <f>4583312678.87+6916280+129160274+632991+100000000</f>
        <v>4820022223.8699999</v>
      </c>
      <c r="L108" s="519">
        <v>1</v>
      </c>
      <c r="M108" s="514" t="s">
        <v>51</v>
      </c>
      <c r="N108" s="514" t="s">
        <v>56</v>
      </c>
      <c r="O108" s="514" t="s">
        <v>37</v>
      </c>
      <c r="P108" s="514" t="s">
        <v>41</v>
      </c>
      <c r="Q108" s="514" t="s">
        <v>222</v>
      </c>
      <c r="R108" s="514" t="s">
        <v>379</v>
      </c>
      <c r="S108" s="514" t="s">
        <v>99</v>
      </c>
      <c r="T108" s="519">
        <v>1</v>
      </c>
      <c r="U108" s="520" t="str">
        <f t="shared" si="56"/>
        <v>Funcionamiento continuo de las instalaciones de la ADRES</v>
      </c>
      <c r="V108" s="521">
        <f t="shared" si="57"/>
        <v>4820022223.8699999</v>
      </c>
      <c r="W108" s="522" t="s">
        <v>114</v>
      </c>
      <c r="X108" s="517">
        <v>0.2</v>
      </c>
      <c r="Y108" s="522" t="s">
        <v>428</v>
      </c>
      <c r="Z108" s="518">
        <f>+V108*X108</f>
        <v>964004444.77400005</v>
      </c>
      <c r="AA108" s="615">
        <f>(AB108/Z108)*20%</f>
        <v>0.18953582796273838</v>
      </c>
      <c r="AB108" s="518">
        <v>913566903</v>
      </c>
      <c r="AC108" s="523">
        <f t="shared" si="35"/>
        <v>0.9476791398136919</v>
      </c>
      <c r="AD108" s="523">
        <f t="shared" si="36"/>
        <v>0.9476791398136919</v>
      </c>
      <c r="AE108" s="523">
        <f t="shared" si="37"/>
        <v>0.18953582796273838</v>
      </c>
      <c r="AF108" s="523">
        <f t="shared" si="38"/>
        <v>0.18953582796273838</v>
      </c>
      <c r="AG108" s="528" t="s">
        <v>769</v>
      </c>
      <c r="AH108" s="517">
        <v>0.2</v>
      </c>
      <c r="AI108" s="522" t="s">
        <v>428</v>
      </c>
      <c r="AJ108" s="518">
        <v>944004444.77400005</v>
      </c>
      <c r="AK108" s="524"/>
      <c r="AL108" s="524"/>
      <c r="AM108" s="523">
        <f t="shared" si="39"/>
        <v>0</v>
      </c>
      <c r="AN108" s="523">
        <f t="shared" si="40"/>
        <v>0</v>
      </c>
      <c r="AO108" s="523">
        <f t="shared" si="41"/>
        <v>0.18953582796273838</v>
      </c>
      <c r="AP108" s="523">
        <f t="shared" si="42"/>
        <v>0.18953582796273838</v>
      </c>
      <c r="AQ108" s="523"/>
      <c r="AR108" s="517">
        <v>0.3</v>
      </c>
      <c r="AS108" s="522" t="s">
        <v>428</v>
      </c>
      <c r="AT108" s="518">
        <f>+AR108*V108</f>
        <v>1446006667.161</v>
      </c>
      <c r="AU108" s="524"/>
      <c r="AV108" s="524"/>
      <c r="AW108" s="523">
        <f t="shared" si="43"/>
        <v>0</v>
      </c>
      <c r="AX108" s="523">
        <f t="shared" si="44"/>
        <v>0</v>
      </c>
      <c r="AY108" s="523">
        <f t="shared" si="45"/>
        <v>0.18953582796273838</v>
      </c>
      <c r="AZ108" s="523">
        <f t="shared" si="46"/>
        <v>0.18953582796273838</v>
      </c>
      <c r="BA108" s="523"/>
      <c r="BB108" s="517">
        <v>0.3</v>
      </c>
      <c r="BC108" s="522" t="s">
        <v>428</v>
      </c>
      <c r="BD108" s="518">
        <v>1416006667.161</v>
      </c>
      <c r="BE108" s="524"/>
      <c r="BF108" s="524"/>
      <c r="BG108" s="517">
        <f t="shared" si="58"/>
        <v>0</v>
      </c>
      <c r="BH108" s="517">
        <f t="shared" si="59"/>
        <v>0</v>
      </c>
      <c r="BI108" s="517">
        <f t="shared" si="60"/>
        <v>0.18953582796273838</v>
      </c>
      <c r="BJ108" s="517">
        <f t="shared" si="61"/>
        <v>0.18953582796273838</v>
      </c>
      <c r="BK108" s="517"/>
      <c r="BL108" s="580">
        <f t="shared" si="47"/>
        <v>0.9476791398136919</v>
      </c>
      <c r="BM108" s="580">
        <f t="shared" si="48"/>
        <v>0.9476791398136919</v>
      </c>
      <c r="BN108" s="580">
        <f t="shared" si="49"/>
        <v>0</v>
      </c>
      <c r="BO108" s="580">
        <f t="shared" si="50"/>
        <v>0</v>
      </c>
      <c r="BP108" s="580">
        <f t="shared" si="51"/>
        <v>0</v>
      </c>
      <c r="BQ108" s="580">
        <f t="shared" si="52"/>
        <v>0</v>
      </c>
      <c r="BR108" s="580">
        <f t="shared" si="53"/>
        <v>0</v>
      </c>
      <c r="BS108" s="580">
        <f t="shared" si="54"/>
        <v>0</v>
      </c>
      <c r="BT108" s="525">
        <f t="shared" si="55"/>
        <v>0.5</v>
      </c>
      <c r="BU108" s="526" t="str">
        <f t="shared" si="62"/>
        <v>Funcionamiento continuo de las instalaciones de la ADRES</v>
      </c>
      <c r="BV108" s="527">
        <f t="shared" si="34"/>
        <v>2390011111.9349999</v>
      </c>
      <c r="BW108" s="524"/>
      <c r="BX108" s="524"/>
      <c r="BY108" s="524"/>
      <c r="BZ108" s="524"/>
      <c r="CA108" s="524"/>
      <c r="CB108" s="524"/>
      <c r="CC108" s="524"/>
    </row>
    <row r="109" spans="1:81" s="457" customFormat="1" ht="102" x14ac:dyDescent="0.25">
      <c r="A109" s="513">
        <v>11700</v>
      </c>
      <c r="B109" s="514" t="s">
        <v>29</v>
      </c>
      <c r="C109" s="515" t="s">
        <v>328</v>
      </c>
      <c r="D109" s="514" t="s">
        <v>256</v>
      </c>
      <c r="E109" s="515" t="s">
        <v>429</v>
      </c>
      <c r="F109" s="514" t="s">
        <v>430</v>
      </c>
      <c r="G109" s="516" t="s">
        <v>123</v>
      </c>
      <c r="H109" s="517">
        <v>1</v>
      </c>
      <c r="I109" s="515" t="s">
        <v>457</v>
      </c>
      <c r="J109" s="514" t="s">
        <v>761</v>
      </c>
      <c r="K109" s="518">
        <f>570000000+2926175+100000000</f>
        <v>672926175</v>
      </c>
      <c r="L109" s="519">
        <v>1</v>
      </c>
      <c r="M109" s="514" t="s">
        <v>51</v>
      </c>
      <c r="N109" s="514" t="s">
        <v>56</v>
      </c>
      <c r="O109" s="514" t="s">
        <v>37</v>
      </c>
      <c r="P109" s="514" t="s">
        <v>41</v>
      </c>
      <c r="Q109" s="514" t="s">
        <v>222</v>
      </c>
      <c r="R109" s="514" t="s">
        <v>379</v>
      </c>
      <c r="S109" s="514" t="s">
        <v>99</v>
      </c>
      <c r="T109" s="517">
        <v>1</v>
      </c>
      <c r="U109" s="520" t="str">
        <f t="shared" si="56"/>
        <v xml:space="preserve">Suministro de Tiquetes Aéreos y Viáticos </v>
      </c>
      <c r="V109" s="521">
        <f t="shared" si="57"/>
        <v>672926175</v>
      </c>
      <c r="W109" s="522" t="s">
        <v>114</v>
      </c>
      <c r="X109" s="517">
        <v>0.25</v>
      </c>
      <c r="Y109" s="522" t="s">
        <v>761</v>
      </c>
      <c r="Z109" s="518">
        <f>+X109*V109</f>
        <v>168231543.75</v>
      </c>
      <c r="AA109" s="572">
        <f>(AB109/Z109)*25%</f>
        <v>2.8526488808374856E-2</v>
      </c>
      <c r="AB109" s="518">
        <v>19196221</v>
      </c>
      <c r="AC109" s="523">
        <f t="shared" si="35"/>
        <v>0.11410595523349942</v>
      </c>
      <c r="AD109" s="523">
        <f t="shared" si="36"/>
        <v>0.11410595523349942</v>
      </c>
      <c r="AE109" s="523">
        <f t="shared" si="37"/>
        <v>2.8526488808374856E-2</v>
      </c>
      <c r="AF109" s="523">
        <f t="shared" si="38"/>
        <v>2.8526488808374856E-2</v>
      </c>
      <c r="AG109" s="528" t="s">
        <v>1009</v>
      </c>
      <c r="AH109" s="517">
        <v>0.25</v>
      </c>
      <c r="AI109" s="522" t="s">
        <v>761</v>
      </c>
      <c r="AJ109" s="518">
        <f>+AH109*V109</f>
        <v>168231543.75</v>
      </c>
      <c r="AK109" s="524"/>
      <c r="AL109" s="524"/>
      <c r="AM109" s="523">
        <f t="shared" si="39"/>
        <v>0</v>
      </c>
      <c r="AN109" s="523">
        <f t="shared" si="40"/>
        <v>0</v>
      </c>
      <c r="AO109" s="523">
        <f t="shared" si="41"/>
        <v>2.8526488808374856E-2</v>
      </c>
      <c r="AP109" s="523">
        <f t="shared" si="42"/>
        <v>2.8526488808374856E-2</v>
      </c>
      <c r="AQ109" s="523"/>
      <c r="AR109" s="517">
        <v>0.25</v>
      </c>
      <c r="AS109" s="522" t="s">
        <v>761</v>
      </c>
      <c r="AT109" s="518">
        <f>+AR109*V109</f>
        <v>168231543.75</v>
      </c>
      <c r="AU109" s="524"/>
      <c r="AV109" s="524"/>
      <c r="AW109" s="523">
        <f t="shared" si="43"/>
        <v>0</v>
      </c>
      <c r="AX109" s="523">
        <f t="shared" si="44"/>
        <v>0</v>
      </c>
      <c r="AY109" s="523">
        <f t="shared" si="45"/>
        <v>2.8526488808374856E-2</v>
      </c>
      <c r="AZ109" s="523">
        <f t="shared" si="46"/>
        <v>2.8526488808374856E-2</v>
      </c>
      <c r="BA109" s="523"/>
      <c r="BB109" s="517">
        <v>0.25</v>
      </c>
      <c r="BC109" s="522" t="s">
        <v>761</v>
      </c>
      <c r="BD109" s="518">
        <f>+BB109*V109</f>
        <v>168231543.75</v>
      </c>
      <c r="BE109" s="524"/>
      <c r="BF109" s="524"/>
      <c r="BG109" s="517">
        <f t="shared" si="58"/>
        <v>0</v>
      </c>
      <c r="BH109" s="517">
        <f t="shared" si="59"/>
        <v>0</v>
      </c>
      <c r="BI109" s="517">
        <f t="shared" si="60"/>
        <v>2.8526488808374856E-2</v>
      </c>
      <c r="BJ109" s="517">
        <f t="shared" si="61"/>
        <v>2.8526488808374856E-2</v>
      </c>
      <c r="BK109" s="517"/>
      <c r="BL109" s="580">
        <f t="shared" si="47"/>
        <v>0.11410595523349942</v>
      </c>
      <c r="BM109" s="580">
        <f t="shared" si="48"/>
        <v>0.11410595523349942</v>
      </c>
      <c r="BN109" s="580">
        <f t="shared" si="49"/>
        <v>0</v>
      </c>
      <c r="BO109" s="580">
        <f t="shared" si="50"/>
        <v>0</v>
      </c>
      <c r="BP109" s="580">
        <f t="shared" si="51"/>
        <v>0</v>
      </c>
      <c r="BQ109" s="580">
        <f t="shared" si="52"/>
        <v>0</v>
      </c>
      <c r="BR109" s="580">
        <f t="shared" si="53"/>
        <v>0</v>
      </c>
      <c r="BS109" s="580">
        <f t="shared" si="54"/>
        <v>0</v>
      </c>
      <c r="BT109" s="525">
        <f t="shared" si="55"/>
        <v>0.58333333333333337</v>
      </c>
      <c r="BU109" s="526" t="str">
        <f t="shared" si="62"/>
        <v xml:space="preserve">Suministro de Tiquetes Aéreos y Viáticos </v>
      </c>
      <c r="BV109" s="527">
        <f t="shared" si="34"/>
        <v>392540268.75</v>
      </c>
      <c r="BW109" s="524"/>
      <c r="BX109" s="524"/>
      <c r="BY109" s="524"/>
      <c r="BZ109" s="524"/>
      <c r="CA109" s="524"/>
      <c r="CB109" s="524"/>
      <c r="CC109" s="524"/>
    </row>
    <row r="110" spans="1:81" s="457" customFormat="1" ht="89.25" x14ac:dyDescent="0.25">
      <c r="A110" s="513">
        <v>11700</v>
      </c>
      <c r="B110" s="514" t="s">
        <v>29</v>
      </c>
      <c r="C110" s="515" t="s">
        <v>328</v>
      </c>
      <c r="D110" s="514" t="s">
        <v>256</v>
      </c>
      <c r="E110" s="515" t="s">
        <v>431</v>
      </c>
      <c r="F110" s="514" t="s">
        <v>433</v>
      </c>
      <c r="G110" s="516" t="s">
        <v>123</v>
      </c>
      <c r="H110" s="519">
        <v>1</v>
      </c>
      <c r="I110" s="515" t="s">
        <v>432</v>
      </c>
      <c r="J110" s="514" t="s">
        <v>434</v>
      </c>
      <c r="K110" s="518">
        <v>1170191442</v>
      </c>
      <c r="L110" s="519">
        <v>1</v>
      </c>
      <c r="M110" s="514" t="s">
        <v>46</v>
      </c>
      <c r="N110" s="514" t="s">
        <v>59</v>
      </c>
      <c r="O110" s="514" t="s">
        <v>37</v>
      </c>
      <c r="P110" s="514" t="s">
        <v>40</v>
      </c>
      <c r="Q110" s="514" t="s">
        <v>221</v>
      </c>
      <c r="R110" s="514" t="s">
        <v>643</v>
      </c>
      <c r="S110" s="514" t="s">
        <v>99</v>
      </c>
      <c r="T110" s="517">
        <v>1</v>
      </c>
      <c r="U110" s="520" t="str">
        <f t="shared" si="56"/>
        <v xml:space="preserve">Garantizar la gestión de correspondencia de la entidad </v>
      </c>
      <c r="V110" s="521">
        <f t="shared" si="57"/>
        <v>1170191442</v>
      </c>
      <c r="W110" s="522" t="s">
        <v>114</v>
      </c>
      <c r="X110" s="517">
        <v>0.25</v>
      </c>
      <c r="Y110" s="522" t="s">
        <v>434</v>
      </c>
      <c r="Z110" s="518">
        <v>292547860.5</v>
      </c>
      <c r="AA110" s="572">
        <f>+(34234/34234)*X110</f>
        <v>0.25</v>
      </c>
      <c r="AB110" s="518">
        <v>128654910</v>
      </c>
      <c r="AC110" s="523">
        <f t="shared" si="35"/>
        <v>1</v>
      </c>
      <c r="AD110" s="523">
        <f t="shared" si="36"/>
        <v>0.43977388786953714</v>
      </c>
      <c r="AE110" s="523">
        <f t="shared" si="37"/>
        <v>0.25</v>
      </c>
      <c r="AF110" s="523">
        <f t="shared" si="38"/>
        <v>0.10994347196738428</v>
      </c>
      <c r="AG110" s="528"/>
      <c r="AH110" s="517">
        <v>0.25</v>
      </c>
      <c r="AI110" s="522" t="s">
        <v>434</v>
      </c>
      <c r="AJ110" s="518">
        <v>292547860.5</v>
      </c>
      <c r="AK110" s="524"/>
      <c r="AL110" s="524"/>
      <c r="AM110" s="523">
        <f t="shared" si="39"/>
        <v>0</v>
      </c>
      <c r="AN110" s="523">
        <f t="shared" si="40"/>
        <v>0</v>
      </c>
      <c r="AO110" s="523">
        <f t="shared" si="41"/>
        <v>0.25</v>
      </c>
      <c r="AP110" s="523">
        <f t="shared" si="42"/>
        <v>0.10994347196738428</v>
      </c>
      <c r="AQ110" s="523"/>
      <c r="AR110" s="517">
        <v>0.25</v>
      </c>
      <c r="AS110" s="522" t="s">
        <v>434</v>
      </c>
      <c r="AT110" s="518">
        <v>292547860.5</v>
      </c>
      <c r="AU110" s="524"/>
      <c r="AV110" s="524"/>
      <c r="AW110" s="523">
        <f t="shared" si="43"/>
        <v>0</v>
      </c>
      <c r="AX110" s="523">
        <f t="shared" si="44"/>
        <v>0</v>
      </c>
      <c r="AY110" s="523">
        <f t="shared" si="45"/>
        <v>0.25</v>
      </c>
      <c r="AZ110" s="523">
        <f t="shared" si="46"/>
        <v>0.10994347196738428</v>
      </c>
      <c r="BA110" s="523"/>
      <c r="BB110" s="517">
        <v>0.25</v>
      </c>
      <c r="BC110" s="522" t="s">
        <v>434</v>
      </c>
      <c r="BD110" s="518">
        <v>292547860.5</v>
      </c>
      <c r="BE110" s="524"/>
      <c r="BF110" s="524"/>
      <c r="BG110" s="517">
        <f t="shared" si="58"/>
        <v>0</v>
      </c>
      <c r="BH110" s="517">
        <f t="shared" si="59"/>
        <v>0</v>
      </c>
      <c r="BI110" s="517">
        <f t="shared" si="60"/>
        <v>0.25</v>
      </c>
      <c r="BJ110" s="517">
        <f t="shared" si="61"/>
        <v>0.10994347196738428</v>
      </c>
      <c r="BK110" s="517"/>
      <c r="BL110" s="580">
        <f t="shared" si="47"/>
        <v>1</v>
      </c>
      <c r="BM110" s="580">
        <f t="shared" si="48"/>
        <v>0.43977388786953714</v>
      </c>
      <c r="BN110" s="580">
        <f t="shared" si="49"/>
        <v>0</v>
      </c>
      <c r="BO110" s="580">
        <f t="shared" si="50"/>
        <v>0</v>
      </c>
      <c r="BP110" s="580">
        <f t="shared" si="51"/>
        <v>0</v>
      </c>
      <c r="BQ110" s="580">
        <f t="shared" si="52"/>
        <v>0</v>
      </c>
      <c r="BR110" s="580">
        <f t="shared" si="53"/>
        <v>0</v>
      </c>
      <c r="BS110" s="580">
        <f t="shared" si="54"/>
        <v>0</v>
      </c>
      <c r="BT110" s="525">
        <f t="shared" si="55"/>
        <v>0.58333333333333337</v>
      </c>
      <c r="BU110" s="526" t="str">
        <f t="shared" si="62"/>
        <v xml:space="preserve">Garantizar la gestión de correspondencia de la entidad </v>
      </c>
      <c r="BV110" s="527">
        <f t="shared" si="34"/>
        <v>682611674.5</v>
      </c>
      <c r="BW110" s="524"/>
      <c r="BX110" s="524"/>
      <c r="BY110" s="524"/>
      <c r="BZ110" s="524"/>
      <c r="CA110" s="524"/>
      <c r="CB110" s="524"/>
      <c r="CC110" s="524"/>
    </row>
    <row r="111" spans="1:81" s="457" customFormat="1" ht="306" x14ac:dyDescent="0.25">
      <c r="A111" s="513">
        <v>11700</v>
      </c>
      <c r="B111" s="514" t="s">
        <v>29</v>
      </c>
      <c r="C111" s="515" t="s">
        <v>328</v>
      </c>
      <c r="D111" s="514" t="s">
        <v>256</v>
      </c>
      <c r="E111" s="515" t="s">
        <v>644</v>
      </c>
      <c r="F111" s="514" t="s">
        <v>652</v>
      </c>
      <c r="G111" s="516" t="s">
        <v>123</v>
      </c>
      <c r="H111" s="519">
        <v>1</v>
      </c>
      <c r="I111" s="515" t="s">
        <v>645</v>
      </c>
      <c r="J111" s="514" t="s">
        <v>653</v>
      </c>
      <c r="K111" s="518">
        <v>538238487.5</v>
      </c>
      <c r="L111" s="519">
        <v>1</v>
      </c>
      <c r="M111" s="514" t="s">
        <v>46</v>
      </c>
      <c r="N111" s="514" t="s">
        <v>59</v>
      </c>
      <c r="O111" s="514" t="s">
        <v>37</v>
      </c>
      <c r="P111" s="514" t="s">
        <v>40</v>
      </c>
      <c r="Q111" s="514" t="s">
        <v>220</v>
      </c>
      <c r="R111" s="514" t="s">
        <v>889</v>
      </c>
      <c r="S111" s="514" t="s">
        <v>101</v>
      </c>
      <c r="T111" s="517">
        <v>0.95</v>
      </c>
      <c r="U111" s="520" t="str">
        <f t="shared" si="56"/>
        <v>Garantizar la gestión de Servicio al ciudadano de la entidad  por los diferentes canales  de atención.</v>
      </c>
      <c r="V111" s="521">
        <f t="shared" si="57"/>
        <v>538238487.5</v>
      </c>
      <c r="W111" s="522" t="s">
        <v>114</v>
      </c>
      <c r="X111" s="573">
        <v>0.23749999999999999</v>
      </c>
      <c r="Y111" s="529" t="str">
        <f>+U111</f>
        <v>Garantizar la gestión de Servicio al ciudadano de la entidad  por los diferentes canales  de atención.</v>
      </c>
      <c r="Z111" s="518">
        <v>134559621.875</v>
      </c>
      <c r="AA111" s="572">
        <f>(12070/14371)*0.2375</f>
        <v>0.19947289680606778</v>
      </c>
      <c r="AB111" s="518">
        <v>137724460</v>
      </c>
      <c r="AC111" s="523">
        <f t="shared" si="35"/>
        <v>0.83988588128870645</v>
      </c>
      <c r="AD111" s="523">
        <f t="shared" si="36"/>
        <v>1.023519968924556</v>
      </c>
      <c r="AE111" s="523">
        <f t="shared" si="37"/>
        <v>0.20997147032217661</v>
      </c>
      <c r="AF111" s="523">
        <f t="shared" si="38"/>
        <v>0.255879992231139</v>
      </c>
      <c r="AG111" s="528" t="s">
        <v>1010</v>
      </c>
      <c r="AH111" s="573">
        <v>0.23749999999999999</v>
      </c>
      <c r="AI111" s="529" t="str">
        <f>+U111</f>
        <v>Garantizar la gestión de Servicio al ciudadano de la entidad  por los diferentes canales  de atención.</v>
      </c>
      <c r="AJ111" s="518">
        <v>134559621.875</v>
      </c>
      <c r="AK111" s="524"/>
      <c r="AL111" s="524"/>
      <c r="AM111" s="523">
        <f t="shared" si="39"/>
        <v>0</v>
      </c>
      <c r="AN111" s="523">
        <f t="shared" si="40"/>
        <v>0</v>
      </c>
      <c r="AO111" s="523">
        <f t="shared" si="41"/>
        <v>0.20997147032217661</v>
      </c>
      <c r="AP111" s="523">
        <f t="shared" si="42"/>
        <v>0.255879992231139</v>
      </c>
      <c r="AQ111" s="523"/>
      <c r="AR111" s="573">
        <v>0.23749999999999999</v>
      </c>
      <c r="AS111" s="529" t="str">
        <f>+U111</f>
        <v>Garantizar la gestión de Servicio al ciudadano de la entidad  por los diferentes canales  de atención.</v>
      </c>
      <c r="AT111" s="518">
        <v>134559621.875</v>
      </c>
      <c r="AU111" s="524"/>
      <c r="AV111" s="524"/>
      <c r="AW111" s="523">
        <f t="shared" si="43"/>
        <v>0</v>
      </c>
      <c r="AX111" s="523">
        <f t="shared" si="44"/>
        <v>0</v>
      </c>
      <c r="AY111" s="523">
        <f t="shared" si="45"/>
        <v>0.20997147032217661</v>
      </c>
      <c r="AZ111" s="523">
        <f t="shared" si="46"/>
        <v>0.255879992231139</v>
      </c>
      <c r="BA111" s="523"/>
      <c r="BB111" s="573">
        <v>0.23749999999999999</v>
      </c>
      <c r="BC111" s="529" t="str">
        <f>+U111</f>
        <v>Garantizar la gestión de Servicio al ciudadano de la entidad  por los diferentes canales  de atención.</v>
      </c>
      <c r="BD111" s="518">
        <v>134559621.875</v>
      </c>
      <c r="BE111" s="524"/>
      <c r="BF111" s="524"/>
      <c r="BG111" s="517">
        <f t="shared" si="58"/>
        <v>0</v>
      </c>
      <c r="BH111" s="517">
        <f t="shared" si="59"/>
        <v>0</v>
      </c>
      <c r="BI111" s="517">
        <f t="shared" si="60"/>
        <v>0.20997147032217661</v>
      </c>
      <c r="BJ111" s="517">
        <f t="shared" si="61"/>
        <v>0.255879992231139</v>
      </c>
      <c r="BK111" s="517"/>
      <c r="BL111" s="580">
        <f t="shared" si="47"/>
        <v>0.83988588128870645</v>
      </c>
      <c r="BM111" s="580">
        <f t="shared" si="48"/>
        <v>1.023519968924556</v>
      </c>
      <c r="BN111" s="580">
        <f t="shared" si="49"/>
        <v>0</v>
      </c>
      <c r="BO111" s="580">
        <f t="shared" si="50"/>
        <v>0</v>
      </c>
      <c r="BP111" s="580">
        <f t="shared" si="51"/>
        <v>0</v>
      </c>
      <c r="BQ111" s="580">
        <f t="shared" si="52"/>
        <v>0</v>
      </c>
      <c r="BR111" s="580">
        <f t="shared" si="53"/>
        <v>0</v>
      </c>
      <c r="BS111" s="580">
        <f t="shared" si="54"/>
        <v>0</v>
      </c>
      <c r="BT111" s="525">
        <f t="shared" si="55"/>
        <v>0.5541666666666667</v>
      </c>
      <c r="BU111" s="526" t="str">
        <f t="shared" si="62"/>
        <v>Garantizar la gestión de Servicio al ciudadano de la entidad  por los diferentes canales  de atención.</v>
      </c>
      <c r="BV111" s="527">
        <f t="shared" si="34"/>
        <v>313972451.04166669</v>
      </c>
      <c r="BW111" s="524"/>
      <c r="BX111" s="524"/>
      <c r="BY111" s="524"/>
      <c r="BZ111" s="524"/>
      <c r="CA111" s="524"/>
      <c r="CB111" s="524"/>
      <c r="CC111" s="524"/>
    </row>
    <row r="112" spans="1:81" s="457" customFormat="1" ht="165.75" x14ac:dyDescent="0.25">
      <c r="A112" s="513">
        <v>11700</v>
      </c>
      <c r="B112" s="514" t="s">
        <v>29</v>
      </c>
      <c r="C112" s="515" t="s">
        <v>328</v>
      </c>
      <c r="D112" s="514" t="s">
        <v>256</v>
      </c>
      <c r="E112" s="515" t="s">
        <v>650</v>
      </c>
      <c r="F112" s="514" t="s">
        <v>655</v>
      </c>
      <c r="G112" s="516" t="s">
        <v>123</v>
      </c>
      <c r="H112" s="519">
        <v>1</v>
      </c>
      <c r="I112" s="515" t="s">
        <v>651</v>
      </c>
      <c r="J112" s="514" t="s">
        <v>656</v>
      </c>
      <c r="K112" s="518">
        <v>48960000</v>
      </c>
      <c r="L112" s="519">
        <v>1</v>
      </c>
      <c r="M112" s="514" t="s">
        <v>46</v>
      </c>
      <c r="N112" s="514" t="s">
        <v>59</v>
      </c>
      <c r="O112" s="514" t="s">
        <v>37</v>
      </c>
      <c r="P112" s="514" t="s">
        <v>40</v>
      </c>
      <c r="Q112" s="514" t="s">
        <v>220</v>
      </c>
      <c r="R112" s="514" t="s">
        <v>826</v>
      </c>
      <c r="S112" s="514" t="s">
        <v>101</v>
      </c>
      <c r="T112" s="517">
        <v>1</v>
      </c>
      <c r="U112" s="520" t="str">
        <f t="shared" si="56"/>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V112" s="521">
        <f t="shared" si="57"/>
        <v>48960000</v>
      </c>
      <c r="W112" s="522" t="s">
        <v>114</v>
      </c>
      <c r="X112" s="517">
        <v>0.25</v>
      </c>
      <c r="Y112" s="522" t="s">
        <v>656</v>
      </c>
      <c r="Z112" s="518">
        <v>12240000</v>
      </c>
      <c r="AA112" s="572">
        <f>(12/12)*0.25</f>
        <v>0.25</v>
      </c>
      <c r="AB112" s="518">
        <f>2323367+2720000+4080000</f>
        <v>9123367</v>
      </c>
      <c r="AC112" s="523">
        <f t="shared" si="35"/>
        <v>1</v>
      </c>
      <c r="AD112" s="523">
        <f t="shared" si="36"/>
        <v>0.74537312091503272</v>
      </c>
      <c r="AE112" s="523">
        <f t="shared" si="37"/>
        <v>0.25</v>
      </c>
      <c r="AF112" s="523">
        <f t="shared" si="38"/>
        <v>0.18634328022875818</v>
      </c>
      <c r="AG112" s="528" t="s">
        <v>905</v>
      </c>
      <c r="AH112" s="517">
        <v>0.25</v>
      </c>
      <c r="AI112" s="522" t="s">
        <v>656</v>
      </c>
      <c r="AJ112" s="518">
        <v>12240000</v>
      </c>
      <c r="AK112" s="524"/>
      <c r="AL112" s="524"/>
      <c r="AM112" s="523">
        <f t="shared" si="39"/>
        <v>0</v>
      </c>
      <c r="AN112" s="523">
        <f t="shared" si="40"/>
        <v>0</v>
      </c>
      <c r="AO112" s="523">
        <f t="shared" si="41"/>
        <v>0.25</v>
      </c>
      <c r="AP112" s="523">
        <f t="shared" si="42"/>
        <v>0.18634328022875818</v>
      </c>
      <c r="AQ112" s="523"/>
      <c r="AR112" s="517">
        <v>0.25</v>
      </c>
      <c r="AS112" s="522" t="s">
        <v>656</v>
      </c>
      <c r="AT112" s="518">
        <v>12240000</v>
      </c>
      <c r="AU112" s="524"/>
      <c r="AV112" s="524"/>
      <c r="AW112" s="523">
        <f t="shared" si="43"/>
        <v>0</v>
      </c>
      <c r="AX112" s="523">
        <f t="shared" si="44"/>
        <v>0</v>
      </c>
      <c r="AY112" s="523">
        <f t="shared" si="45"/>
        <v>0.25</v>
      </c>
      <c r="AZ112" s="523">
        <f t="shared" si="46"/>
        <v>0.18634328022875818</v>
      </c>
      <c r="BA112" s="523"/>
      <c r="BB112" s="517">
        <v>0.25</v>
      </c>
      <c r="BC112" s="522" t="s">
        <v>656</v>
      </c>
      <c r="BD112" s="518">
        <v>12240000</v>
      </c>
      <c r="BE112" s="524"/>
      <c r="BF112" s="524"/>
      <c r="BG112" s="517">
        <f t="shared" si="58"/>
        <v>0</v>
      </c>
      <c r="BH112" s="517">
        <f t="shared" si="59"/>
        <v>0</v>
      </c>
      <c r="BI112" s="517">
        <f t="shared" si="60"/>
        <v>0.25</v>
      </c>
      <c r="BJ112" s="517">
        <f t="shared" si="61"/>
        <v>0.18634328022875818</v>
      </c>
      <c r="BK112" s="517"/>
      <c r="BL112" s="580">
        <f t="shared" si="47"/>
        <v>1</v>
      </c>
      <c r="BM112" s="580">
        <f t="shared" si="48"/>
        <v>0.74537312091503272</v>
      </c>
      <c r="BN112" s="580">
        <f t="shared" si="49"/>
        <v>0</v>
      </c>
      <c r="BO112" s="580">
        <f t="shared" si="50"/>
        <v>0</v>
      </c>
      <c r="BP112" s="580">
        <f t="shared" si="51"/>
        <v>0</v>
      </c>
      <c r="BQ112" s="580">
        <f t="shared" si="52"/>
        <v>0</v>
      </c>
      <c r="BR112" s="580">
        <f t="shared" si="53"/>
        <v>0</v>
      </c>
      <c r="BS112" s="580">
        <f t="shared" si="54"/>
        <v>0</v>
      </c>
      <c r="BT112" s="525">
        <f t="shared" si="55"/>
        <v>0.58333333333333337</v>
      </c>
      <c r="BU112" s="526" t="str">
        <f t="shared" si="62"/>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BV112" s="527">
        <f t="shared" si="34"/>
        <v>28560000</v>
      </c>
      <c r="BW112" s="524"/>
      <c r="BX112" s="524"/>
      <c r="BY112" s="524"/>
      <c r="BZ112" s="524"/>
      <c r="CA112" s="524"/>
      <c r="CB112" s="524"/>
      <c r="CC112" s="524"/>
    </row>
    <row r="113" spans="1:81" s="457" customFormat="1" ht="89.25" x14ac:dyDescent="0.25">
      <c r="A113" s="513">
        <v>11700</v>
      </c>
      <c r="B113" s="514" t="s">
        <v>29</v>
      </c>
      <c r="C113" s="515" t="s">
        <v>328</v>
      </c>
      <c r="D113" s="514" t="s">
        <v>256</v>
      </c>
      <c r="E113" s="515" t="s">
        <v>822</v>
      </c>
      <c r="F113" s="514" t="s">
        <v>646</v>
      </c>
      <c r="G113" s="516" t="s">
        <v>123</v>
      </c>
      <c r="H113" s="517">
        <v>1</v>
      </c>
      <c r="I113" s="515" t="s">
        <v>716</v>
      </c>
      <c r="J113" s="514" t="s">
        <v>762</v>
      </c>
      <c r="K113" s="518">
        <f>2423788854+309609496</f>
        <v>2733398350</v>
      </c>
      <c r="L113" s="519">
        <v>1</v>
      </c>
      <c r="M113" s="514" t="s">
        <v>46</v>
      </c>
      <c r="N113" s="514" t="s">
        <v>59</v>
      </c>
      <c r="O113" s="514" t="s">
        <v>37</v>
      </c>
      <c r="P113" s="514" t="s">
        <v>40</v>
      </c>
      <c r="Q113" s="514" t="s">
        <v>221</v>
      </c>
      <c r="R113" s="514" t="s">
        <v>648</v>
      </c>
      <c r="S113" s="514" t="s">
        <v>99</v>
      </c>
      <c r="T113" s="517">
        <v>1</v>
      </c>
      <c r="U113" s="520" t="str">
        <f t="shared" si="56"/>
        <v xml:space="preserve">Prestar los servicios especializados en gestión documental de administración, custodia, conservación, consulta, préstamo en soporte físico y magnético </v>
      </c>
      <c r="V113" s="521">
        <f t="shared" si="57"/>
        <v>2733398350</v>
      </c>
      <c r="W113" s="522" t="s">
        <v>114</v>
      </c>
      <c r="X113" s="517">
        <v>0.25</v>
      </c>
      <c r="Y113" s="522" t="s">
        <v>649</v>
      </c>
      <c r="Z113" s="518">
        <f>+K113*X113</f>
        <v>683349587.5</v>
      </c>
      <c r="AA113" s="615">
        <f>((107-11)/107)*25%</f>
        <v>0.22429906542056074</v>
      </c>
      <c r="AB113" s="518">
        <v>931842461</v>
      </c>
      <c r="AC113" s="523">
        <f t="shared" si="35"/>
        <v>0.89719626168224298</v>
      </c>
      <c r="AD113" s="523">
        <f t="shared" si="36"/>
        <v>1.3636394578199698</v>
      </c>
      <c r="AE113" s="523">
        <f t="shared" si="37"/>
        <v>0.22429906542056074</v>
      </c>
      <c r="AF113" s="523">
        <f t="shared" si="38"/>
        <v>0.34090986445499244</v>
      </c>
      <c r="AG113" s="528" t="s">
        <v>1011</v>
      </c>
      <c r="AH113" s="517">
        <v>0.25</v>
      </c>
      <c r="AI113" s="522" t="s">
        <v>649</v>
      </c>
      <c r="AJ113" s="518">
        <v>683349587.5</v>
      </c>
      <c r="AK113" s="524"/>
      <c r="AL113" s="524"/>
      <c r="AM113" s="523">
        <f t="shared" si="39"/>
        <v>0</v>
      </c>
      <c r="AN113" s="523">
        <f t="shared" si="40"/>
        <v>0</v>
      </c>
      <c r="AO113" s="523">
        <f t="shared" si="41"/>
        <v>0.22429906542056074</v>
      </c>
      <c r="AP113" s="523">
        <f t="shared" si="42"/>
        <v>0.34090986445499244</v>
      </c>
      <c r="AQ113" s="523"/>
      <c r="AR113" s="517">
        <v>0.25</v>
      </c>
      <c r="AS113" s="522" t="s">
        <v>649</v>
      </c>
      <c r="AT113" s="518">
        <v>683349587.5</v>
      </c>
      <c r="AU113" s="524"/>
      <c r="AV113" s="524"/>
      <c r="AW113" s="523">
        <f t="shared" si="43"/>
        <v>0</v>
      </c>
      <c r="AX113" s="523">
        <f t="shared" si="44"/>
        <v>0</v>
      </c>
      <c r="AY113" s="523">
        <f t="shared" si="45"/>
        <v>0.22429906542056074</v>
      </c>
      <c r="AZ113" s="523">
        <f t="shared" si="46"/>
        <v>0.34090986445499244</v>
      </c>
      <c r="BA113" s="523"/>
      <c r="BB113" s="517">
        <v>0.25</v>
      </c>
      <c r="BC113" s="522" t="s">
        <v>649</v>
      </c>
      <c r="BD113" s="518">
        <v>683349587.5</v>
      </c>
      <c r="BE113" s="524"/>
      <c r="BF113" s="524"/>
      <c r="BG113" s="517">
        <f t="shared" si="58"/>
        <v>0</v>
      </c>
      <c r="BH113" s="517">
        <f t="shared" si="59"/>
        <v>0</v>
      </c>
      <c r="BI113" s="517">
        <f t="shared" si="60"/>
        <v>0.22429906542056074</v>
      </c>
      <c r="BJ113" s="517">
        <f t="shared" si="61"/>
        <v>0.34090986445499244</v>
      </c>
      <c r="BK113" s="517"/>
      <c r="BL113" s="580">
        <f t="shared" si="47"/>
        <v>0.89719626168224298</v>
      </c>
      <c r="BM113" s="580">
        <f t="shared" si="48"/>
        <v>1.3636394578199698</v>
      </c>
      <c r="BN113" s="580">
        <f t="shared" si="49"/>
        <v>0</v>
      </c>
      <c r="BO113" s="580">
        <f t="shared" si="50"/>
        <v>0</v>
      </c>
      <c r="BP113" s="580">
        <f t="shared" si="51"/>
        <v>0</v>
      </c>
      <c r="BQ113" s="580">
        <f t="shared" si="52"/>
        <v>0</v>
      </c>
      <c r="BR113" s="580">
        <f t="shared" si="53"/>
        <v>0</v>
      </c>
      <c r="BS113" s="580">
        <f t="shared" si="54"/>
        <v>0</v>
      </c>
      <c r="BT113" s="525">
        <f t="shared" si="55"/>
        <v>0.58333333333333337</v>
      </c>
      <c r="BU113" s="526" t="str">
        <f t="shared" si="62"/>
        <v xml:space="preserve">Prestar los servicios especializados en gestión documental de administración, custodia, conservación, consulta, préstamo en soporte físico y magnético </v>
      </c>
      <c r="BV113" s="527">
        <f t="shared" si="34"/>
        <v>1594482370.8333333</v>
      </c>
      <c r="BW113" s="524"/>
      <c r="BX113" s="524"/>
      <c r="BY113" s="524"/>
      <c r="BZ113" s="524"/>
      <c r="CA113" s="524"/>
      <c r="CB113" s="524"/>
      <c r="CC113" s="524"/>
    </row>
    <row r="114" spans="1:81" s="457" customFormat="1" ht="51" x14ac:dyDescent="0.25">
      <c r="A114" s="513">
        <v>11800</v>
      </c>
      <c r="B114" s="514" t="s">
        <v>5</v>
      </c>
      <c r="C114" s="515" t="s">
        <v>319</v>
      </c>
      <c r="D114" s="514" t="s">
        <v>153</v>
      </c>
      <c r="E114" s="515" t="s">
        <v>320</v>
      </c>
      <c r="F114" s="514" t="s">
        <v>133</v>
      </c>
      <c r="G114" s="516" t="s">
        <v>124</v>
      </c>
      <c r="H114" s="515">
        <v>4</v>
      </c>
      <c r="I114" s="515" t="s">
        <v>321</v>
      </c>
      <c r="J114" s="514" t="s">
        <v>24</v>
      </c>
      <c r="K114" s="518">
        <v>0</v>
      </c>
      <c r="L114" s="519">
        <v>1</v>
      </c>
      <c r="M114" s="514" t="s">
        <v>51</v>
      </c>
      <c r="N114" s="514" t="s">
        <v>68</v>
      </c>
      <c r="O114" s="514" t="s">
        <v>21</v>
      </c>
      <c r="P114" s="514" t="s">
        <v>36</v>
      </c>
      <c r="Q114" s="514" t="s">
        <v>75</v>
      </c>
      <c r="R114" s="514" t="s">
        <v>631</v>
      </c>
      <c r="S114" s="514" t="s">
        <v>98</v>
      </c>
      <c r="T114" s="555">
        <v>4</v>
      </c>
      <c r="U114" s="520" t="str">
        <f t="shared" si="56"/>
        <v>Reportar el cumplimiento del Plan de Acción de la Dependencia</v>
      </c>
      <c r="V114" s="521">
        <f t="shared" si="57"/>
        <v>0</v>
      </c>
      <c r="W114" s="522" t="s">
        <v>117</v>
      </c>
      <c r="X114" s="547">
        <v>1</v>
      </c>
      <c r="Y114" s="522" t="s">
        <v>24</v>
      </c>
      <c r="Z114" s="518">
        <v>0</v>
      </c>
      <c r="AA114" s="524">
        <v>1</v>
      </c>
      <c r="AB114" s="527">
        <v>0</v>
      </c>
      <c r="AC114" s="523">
        <f t="shared" si="35"/>
        <v>1</v>
      </c>
      <c r="AD114" s="523" t="e">
        <f t="shared" si="36"/>
        <v>#DIV/0!</v>
      </c>
      <c r="AE114" s="523">
        <f t="shared" si="37"/>
        <v>0.25</v>
      </c>
      <c r="AF114" s="523" t="e">
        <f t="shared" si="38"/>
        <v>#DIV/0!</v>
      </c>
      <c r="AG114" s="528" t="s">
        <v>891</v>
      </c>
      <c r="AH114" s="547">
        <v>1</v>
      </c>
      <c r="AI114" s="522" t="s">
        <v>24</v>
      </c>
      <c r="AJ114" s="518">
        <v>0</v>
      </c>
      <c r="AK114" s="524"/>
      <c r="AL114" s="524"/>
      <c r="AM114" s="523">
        <f t="shared" si="39"/>
        <v>0</v>
      </c>
      <c r="AN114" s="523" t="e">
        <f t="shared" si="40"/>
        <v>#DIV/0!</v>
      </c>
      <c r="AO114" s="523">
        <f t="shared" si="41"/>
        <v>0.25</v>
      </c>
      <c r="AP114" s="523" t="e">
        <f t="shared" si="42"/>
        <v>#DIV/0!</v>
      </c>
      <c r="AQ114" s="523"/>
      <c r="AR114" s="547">
        <v>1</v>
      </c>
      <c r="AS114" s="522" t="s">
        <v>24</v>
      </c>
      <c r="AT114" s="518">
        <v>0</v>
      </c>
      <c r="AU114" s="524"/>
      <c r="AV114" s="524"/>
      <c r="AW114" s="523">
        <f t="shared" si="43"/>
        <v>0</v>
      </c>
      <c r="AX114" s="523" t="e">
        <f t="shared" si="44"/>
        <v>#DIV/0!</v>
      </c>
      <c r="AY114" s="523">
        <f t="shared" si="45"/>
        <v>0.25</v>
      </c>
      <c r="AZ114" s="523" t="e">
        <f t="shared" si="46"/>
        <v>#DIV/0!</v>
      </c>
      <c r="BA114" s="523"/>
      <c r="BB114" s="547">
        <v>1</v>
      </c>
      <c r="BC114" s="522" t="s">
        <v>24</v>
      </c>
      <c r="BD114" s="518">
        <v>0</v>
      </c>
      <c r="BE114" s="524"/>
      <c r="BF114" s="524"/>
      <c r="BG114" s="517">
        <f t="shared" si="58"/>
        <v>0</v>
      </c>
      <c r="BH114" s="517" t="e">
        <f t="shared" si="59"/>
        <v>#DIV/0!</v>
      </c>
      <c r="BI114" s="517">
        <f t="shared" si="60"/>
        <v>0.25</v>
      </c>
      <c r="BJ114" s="517" t="e">
        <f t="shared" si="61"/>
        <v>#DIV/0!</v>
      </c>
      <c r="BK114" s="517"/>
      <c r="BL114" s="580">
        <f t="shared" si="47"/>
        <v>1</v>
      </c>
      <c r="BM114" s="580" t="str">
        <f t="shared" si="48"/>
        <v>No Prog ni Ejec</v>
      </c>
      <c r="BN114" s="580">
        <f t="shared" si="49"/>
        <v>0</v>
      </c>
      <c r="BO114" s="580" t="str">
        <f t="shared" si="50"/>
        <v>No Prog ni Ejec</v>
      </c>
      <c r="BP114" s="580">
        <f t="shared" si="51"/>
        <v>0</v>
      </c>
      <c r="BQ114" s="580" t="str">
        <f t="shared" si="52"/>
        <v>No Prog ni Ejec</v>
      </c>
      <c r="BR114" s="580">
        <f t="shared" si="53"/>
        <v>0</v>
      </c>
      <c r="BS114" s="580" t="str">
        <f t="shared" si="54"/>
        <v>No Prog ni Ejec</v>
      </c>
      <c r="BT114" s="553">
        <f t="shared" si="55"/>
        <v>2.3333333333333335</v>
      </c>
      <c r="BU114" s="526" t="str">
        <f t="shared" si="62"/>
        <v>Reportar el cumplimiento del Plan de Acción de la Dependencia</v>
      </c>
      <c r="BV114" s="527">
        <f t="shared" si="34"/>
        <v>0</v>
      </c>
      <c r="BW114" s="524"/>
      <c r="BX114" s="524"/>
      <c r="BY114" s="524"/>
      <c r="BZ114" s="524"/>
      <c r="CA114" s="524"/>
      <c r="CB114" s="524"/>
      <c r="CC114" s="524"/>
    </row>
    <row r="115" spans="1:81" s="457" customFormat="1" ht="89.25" x14ac:dyDescent="0.25">
      <c r="A115" s="513">
        <v>11800</v>
      </c>
      <c r="B115" s="514" t="s">
        <v>5</v>
      </c>
      <c r="C115" s="515" t="s">
        <v>322</v>
      </c>
      <c r="D115" s="514" t="s">
        <v>256</v>
      </c>
      <c r="E115" s="515" t="s">
        <v>323</v>
      </c>
      <c r="F115" s="514" t="s">
        <v>159</v>
      </c>
      <c r="G115" s="516" t="s">
        <v>123</v>
      </c>
      <c r="H115" s="517">
        <v>1</v>
      </c>
      <c r="I115" s="515" t="s">
        <v>326</v>
      </c>
      <c r="J115" s="514" t="s">
        <v>883</v>
      </c>
      <c r="K115" s="518">
        <v>0</v>
      </c>
      <c r="L115" s="519">
        <v>1</v>
      </c>
      <c r="M115" s="514" t="s">
        <v>51</v>
      </c>
      <c r="N115" s="514" t="s">
        <v>68</v>
      </c>
      <c r="O115" s="514" t="s">
        <v>21</v>
      </c>
      <c r="P115" s="514" t="s">
        <v>36</v>
      </c>
      <c r="Q115" s="514" t="s">
        <v>75</v>
      </c>
      <c r="R115" s="514" t="s">
        <v>672</v>
      </c>
      <c r="S115" s="514" t="s">
        <v>98</v>
      </c>
      <c r="T115" s="519">
        <v>1</v>
      </c>
      <c r="U115" s="520" t="str">
        <f t="shared" si="56"/>
        <v xml:space="preserve">Formular los procesos y procedimientos en el marco del MIPG
</v>
      </c>
      <c r="V115" s="521">
        <f t="shared" si="57"/>
        <v>0</v>
      </c>
      <c r="W115" s="522" t="s">
        <v>117</v>
      </c>
      <c r="X115" s="517">
        <v>0</v>
      </c>
      <c r="Y115" s="522" t="s">
        <v>677</v>
      </c>
      <c r="Z115" s="518">
        <v>0</v>
      </c>
      <c r="AA115" s="525">
        <v>0</v>
      </c>
      <c r="AB115" s="527">
        <v>0</v>
      </c>
      <c r="AC115" s="523" t="e">
        <f t="shared" si="35"/>
        <v>#DIV/0!</v>
      </c>
      <c r="AD115" s="523" t="e">
        <f t="shared" si="36"/>
        <v>#DIV/0!</v>
      </c>
      <c r="AE115" s="523">
        <f t="shared" si="37"/>
        <v>0</v>
      </c>
      <c r="AF115" s="523" t="e">
        <f t="shared" si="38"/>
        <v>#DIV/0!</v>
      </c>
      <c r="AG115" s="528" t="s">
        <v>1030</v>
      </c>
      <c r="AH115" s="517">
        <v>1</v>
      </c>
      <c r="AI115" s="522" t="s">
        <v>677</v>
      </c>
      <c r="AJ115" s="518">
        <v>0</v>
      </c>
      <c r="AK115" s="524"/>
      <c r="AL115" s="524"/>
      <c r="AM115" s="523">
        <f t="shared" si="39"/>
        <v>0</v>
      </c>
      <c r="AN115" s="523" t="e">
        <f t="shared" si="40"/>
        <v>#DIV/0!</v>
      </c>
      <c r="AO115" s="523">
        <f t="shared" si="41"/>
        <v>0</v>
      </c>
      <c r="AP115" s="523" t="e">
        <f t="shared" si="42"/>
        <v>#DIV/0!</v>
      </c>
      <c r="AQ115" s="523"/>
      <c r="AR115" s="517">
        <v>0</v>
      </c>
      <c r="AS115" s="522" t="s">
        <v>677</v>
      </c>
      <c r="AT115" s="518">
        <v>0</v>
      </c>
      <c r="AU115" s="524"/>
      <c r="AV115" s="524"/>
      <c r="AW115" s="523" t="e">
        <f t="shared" si="43"/>
        <v>#DIV/0!</v>
      </c>
      <c r="AX115" s="523" t="e">
        <f t="shared" si="44"/>
        <v>#DIV/0!</v>
      </c>
      <c r="AY115" s="523">
        <f t="shared" si="45"/>
        <v>0</v>
      </c>
      <c r="AZ115" s="523" t="e">
        <f t="shared" si="46"/>
        <v>#DIV/0!</v>
      </c>
      <c r="BA115" s="523"/>
      <c r="BB115" s="517">
        <v>0</v>
      </c>
      <c r="BC115" s="522" t="s">
        <v>677</v>
      </c>
      <c r="BD115" s="518">
        <v>0</v>
      </c>
      <c r="BE115" s="524"/>
      <c r="BF115" s="524"/>
      <c r="BG115" s="517" t="e">
        <f t="shared" si="58"/>
        <v>#DIV/0!</v>
      </c>
      <c r="BH115" s="517" t="e">
        <f t="shared" si="59"/>
        <v>#DIV/0!</v>
      </c>
      <c r="BI115" s="517">
        <f t="shared" si="60"/>
        <v>0</v>
      </c>
      <c r="BJ115" s="517" t="e">
        <f t="shared" si="61"/>
        <v>#DIV/0!</v>
      </c>
      <c r="BK115" s="517"/>
      <c r="BL115" s="580" t="str">
        <f t="shared" si="47"/>
        <v>No Prog ni Ejec</v>
      </c>
      <c r="BM115" s="580" t="str">
        <f t="shared" si="48"/>
        <v>No Prog ni Ejec</v>
      </c>
      <c r="BN115" s="580">
        <f t="shared" si="49"/>
        <v>0</v>
      </c>
      <c r="BO115" s="580" t="str">
        <f t="shared" si="50"/>
        <v>No Prog ni Ejec</v>
      </c>
      <c r="BP115" s="580" t="str">
        <f t="shared" si="51"/>
        <v>No Prog ni Ejec</v>
      </c>
      <c r="BQ115" s="580" t="str">
        <f t="shared" si="52"/>
        <v>No Prog ni Ejec</v>
      </c>
      <c r="BR115" s="580" t="str">
        <f t="shared" si="53"/>
        <v>No Prog ni Ejec</v>
      </c>
      <c r="BS115" s="580" t="str">
        <f t="shared" si="54"/>
        <v>No Prog ni Ejec</v>
      </c>
      <c r="BT115" s="525">
        <f t="shared" si="55"/>
        <v>1</v>
      </c>
      <c r="BU115" s="526" t="str">
        <f t="shared" si="62"/>
        <v xml:space="preserve">Formular los procesos y procedimientos en el marco del MIPG
</v>
      </c>
      <c r="BV115" s="527">
        <f t="shared" si="34"/>
        <v>0</v>
      </c>
      <c r="BW115" s="524"/>
      <c r="BX115" s="524"/>
      <c r="BY115" s="524"/>
      <c r="BZ115" s="524"/>
      <c r="CA115" s="524"/>
      <c r="CB115" s="524"/>
      <c r="CC115" s="524"/>
    </row>
    <row r="116" spans="1:81" s="457" customFormat="1" ht="89.25" x14ac:dyDescent="0.25">
      <c r="A116" s="513">
        <v>11800</v>
      </c>
      <c r="B116" s="514" t="s">
        <v>5</v>
      </c>
      <c r="C116" s="515" t="s">
        <v>322</v>
      </c>
      <c r="D116" s="514" t="s">
        <v>256</v>
      </c>
      <c r="E116" s="515" t="s">
        <v>325</v>
      </c>
      <c r="F116" s="514" t="s">
        <v>127</v>
      </c>
      <c r="G116" s="516" t="s">
        <v>123</v>
      </c>
      <c r="H116" s="519">
        <v>1</v>
      </c>
      <c r="I116" s="515" t="s">
        <v>327</v>
      </c>
      <c r="J116" s="514" t="s">
        <v>128</v>
      </c>
      <c r="K116" s="518">
        <v>0</v>
      </c>
      <c r="L116" s="519">
        <v>1</v>
      </c>
      <c r="M116" s="514" t="s">
        <v>51</v>
      </c>
      <c r="N116" s="514" t="s">
        <v>68</v>
      </c>
      <c r="O116" s="514" t="s">
        <v>21</v>
      </c>
      <c r="P116" s="514" t="s">
        <v>36</v>
      </c>
      <c r="Q116" s="514" t="s">
        <v>75</v>
      </c>
      <c r="R116" s="514" t="s">
        <v>570</v>
      </c>
      <c r="S116" s="514" t="s">
        <v>98</v>
      </c>
      <c r="T116" s="519">
        <v>1</v>
      </c>
      <c r="U116" s="520" t="str">
        <f t="shared" si="56"/>
        <v>Remitir informes trimestrales de los indicadores formulados y las acciones de mejoras</v>
      </c>
      <c r="V116" s="521">
        <f t="shared" si="57"/>
        <v>0</v>
      </c>
      <c r="W116" s="522" t="s">
        <v>117</v>
      </c>
      <c r="X116" s="517">
        <v>0</v>
      </c>
      <c r="Y116" s="522" t="s">
        <v>128</v>
      </c>
      <c r="Z116" s="518">
        <v>0</v>
      </c>
      <c r="AA116" s="525">
        <v>0</v>
      </c>
      <c r="AB116" s="527">
        <v>0</v>
      </c>
      <c r="AC116" s="523" t="e">
        <f t="shared" si="35"/>
        <v>#DIV/0!</v>
      </c>
      <c r="AD116" s="523" t="e">
        <f t="shared" si="36"/>
        <v>#DIV/0!</v>
      </c>
      <c r="AE116" s="523">
        <f t="shared" si="37"/>
        <v>0</v>
      </c>
      <c r="AF116" s="523" t="e">
        <f t="shared" si="38"/>
        <v>#DIV/0!</v>
      </c>
      <c r="AG116" s="528" t="s">
        <v>1031</v>
      </c>
      <c r="AH116" s="517">
        <v>0</v>
      </c>
      <c r="AI116" s="522" t="s">
        <v>128</v>
      </c>
      <c r="AJ116" s="518">
        <v>0</v>
      </c>
      <c r="AK116" s="524"/>
      <c r="AL116" s="524"/>
      <c r="AM116" s="523" t="e">
        <f t="shared" si="39"/>
        <v>#DIV/0!</v>
      </c>
      <c r="AN116" s="523" t="e">
        <f t="shared" si="40"/>
        <v>#DIV/0!</v>
      </c>
      <c r="AO116" s="523">
        <f t="shared" si="41"/>
        <v>0</v>
      </c>
      <c r="AP116" s="523" t="e">
        <f t="shared" si="42"/>
        <v>#DIV/0!</v>
      </c>
      <c r="AQ116" s="523"/>
      <c r="AR116" s="517">
        <v>0.5</v>
      </c>
      <c r="AS116" s="522" t="s">
        <v>128</v>
      </c>
      <c r="AT116" s="518">
        <v>0</v>
      </c>
      <c r="AU116" s="524"/>
      <c r="AV116" s="524"/>
      <c r="AW116" s="523">
        <f t="shared" si="43"/>
        <v>0</v>
      </c>
      <c r="AX116" s="523" t="e">
        <f t="shared" si="44"/>
        <v>#DIV/0!</v>
      </c>
      <c r="AY116" s="523">
        <f t="shared" si="45"/>
        <v>0</v>
      </c>
      <c r="AZ116" s="523" t="e">
        <f t="shared" si="46"/>
        <v>#DIV/0!</v>
      </c>
      <c r="BA116" s="523"/>
      <c r="BB116" s="517">
        <v>0.5</v>
      </c>
      <c r="BC116" s="522" t="s">
        <v>128</v>
      </c>
      <c r="BD116" s="518">
        <v>0</v>
      </c>
      <c r="BE116" s="524"/>
      <c r="BF116" s="524"/>
      <c r="BG116" s="517">
        <f t="shared" si="58"/>
        <v>0</v>
      </c>
      <c r="BH116" s="517" t="e">
        <f t="shared" si="59"/>
        <v>#DIV/0!</v>
      </c>
      <c r="BI116" s="517">
        <f t="shared" si="60"/>
        <v>0</v>
      </c>
      <c r="BJ116" s="517" t="e">
        <f t="shared" si="61"/>
        <v>#DIV/0!</v>
      </c>
      <c r="BK116" s="517"/>
      <c r="BL116" s="580" t="str">
        <f t="shared" si="47"/>
        <v>No Prog ni Ejec</v>
      </c>
      <c r="BM116" s="580" t="str">
        <f t="shared" si="48"/>
        <v>No Prog ni Ejec</v>
      </c>
      <c r="BN116" s="580" t="str">
        <f t="shared" si="49"/>
        <v>No Prog ni Ejec</v>
      </c>
      <c r="BO116" s="580" t="str">
        <f t="shared" si="50"/>
        <v>No Prog ni Ejec</v>
      </c>
      <c r="BP116" s="580">
        <f t="shared" si="51"/>
        <v>0</v>
      </c>
      <c r="BQ116" s="580" t="str">
        <f t="shared" si="52"/>
        <v>No Prog ni Ejec</v>
      </c>
      <c r="BR116" s="580">
        <f t="shared" si="53"/>
        <v>0</v>
      </c>
      <c r="BS116" s="580" t="str">
        <f t="shared" si="54"/>
        <v>No Prog ni Ejec</v>
      </c>
      <c r="BT116" s="525">
        <f t="shared" si="55"/>
        <v>0.16666666666666666</v>
      </c>
      <c r="BU116" s="526" t="str">
        <f t="shared" si="62"/>
        <v>Remitir informes trimestrales de los indicadores formulados y las acciones de mejoras</v>
      </c>
      <c r="BV116" s="527">
        <f t="shared" si="34"/>
        <v>0</v>
      </c>
      <c r="BW116" s="524"/>
      <c r="BX116" s="524"/>
      <c r="BY116" s="524"/>
      <c r="BZ116" s="524"/>
      <c r="CA116" s="524"/>
      <c r="CB116" s="524"/>
      <c r="CC116" s="524"/>
    </row>
    <row r="117" spans="1:81" s="457" customFormat="1" ht="89.25" x14ac:dyDescent="0.25">
      <c r="A117" s="513">
        <v>11800</v>
      </c>
      <c r="B117" s="514" t="s">
        <v>5</v>
      </c>
      <c r="C117" s="515" t="s">
        <v>333</v>
      </c>
      <c r="D117" s="514" t="s">
        <v>256</v>
      </c>
      <c r="E117" s="515" t="s">
        <v>324</v>
      </c>
      <c r="F117" s="514" t="s">
        <v>880</v>
      </c>
      <c r="G117" s="516" t="s">
        <v>123</v>
      </c>
      <c r="H117" s="574">
        <v>1</v>
      </c>
      <c r="I117" s="515" t="s">
        <v>339</v>
      </c>
      <c r="J117" s="514" t="s">
        <v>881</v>
      </c>
      <c r="K117" s="518">
        <v>0</v>
      </c>
      <c r="L117" s="519">
        <v>1</v>
      </c>
      <c r="M117" s="514" t="s">
        <v>50</v>
      </c>
      <c r="N117" s="514" t="s">
        <v>64</v>
      </c>
      <c r="O117" s="514" t="s">
        <v>37</v>
      </c>
      <c r="P117" s="514" t="s">
        <v>39</v>
      </c>
      <c r="Q117" s="514" t="s">
        <v>230</v>
      </c>
      <c r="R117" s="514" t="s">
        <v>882</v>
      </c>
      <c r="S117" s="514" t="s">
        <v>105</v>
      </c>
      <c r="T117" s="519">
        <v>1</v>
      </c>
      <c r="U117" s="520" t="str">
        <f>+J117</f>
        <v>Realizar las auditorías internas , al Control Interno y otros informes , de acuerdo a lo programado para la vigencia. Plan Anual Auditorias</v>
      </c>
      <c r="V117" s="521">
        <f t="shared" si="57"/>
        <v>0</v>
      </c>
      <c r="W117" s="522" t="s">
        <v>117</v>
      </c>
      <c r="X117" s="517">
        <v>0</v>
      </c>
      <c r="Y117" s="522" t="str">
        <f>+J117</f>
        <v>Realizar las auditorías internas , al Control Interno y otros informes , de acuerdo a lo programado para la vigencia. Plan Anual Auditorias</v>
      </c>
      <c r="Z117" s="518">
        <v>0</v>
      </c>
      <c r="AA117" s="525">
        <v>0</v>
      </c>
      <c r="AB117" s="527">
        <v>0</v>
      </c>
      <c r="AC117" s="523" t="e">
        <f t="shared" si="35"/>
        <v>#DIV/0!</v>
      </c>
      <c r="AD117" s="523" t="e">
        <f t="shared" si="36"/>
        <v>#DIV/0!</v>
      </c>
      <c r="AE117" s="523">
        <f t="shared" si="37"/>
        <v>0</v>
      </c>
      <c r="AF117" s="523" t="e">
        <f t="shared" si="38"/>
        <v>#DIV/0!</v>
      </c>
      <c r="AG117" s="528" t="s">
        <v>1032</v>
      </c>
      <c r="AH117" s="517">
        <v>0.25</v>
      </c>
      <c r="AI117" s="522" t="str">
        <f>+J117</f>
        <v>Realizar las auditorías internas , al Control Interno y otros informes , de acuerdo a lo programado para la vigencia. Plan Anual Auditorias</v>
      </c>
      <c r="AJ117" s="518">
        <v>0</v>
      </c>
      <c r="AK117" s="524"/>
      <c r="AL117" s="524"/>
      <c r="AM117" s="523">
        <f t="shared" si="39"/>
        <v>0</v>
      </c>
      <c r="AN117" s="523" t="e">
        <f t="shared" si="40"/>
        <v>#DIV/0!</v>
      </c>
      <c r="AO117" s="523">
        <f t="shared" si="41"/>
        <v>0</v>
      </c>
      <c r="AP117" s="523" t="e">
        <f t="shared" si="42"/>
        <v>#DIV/0!</v>
      </c>
      <c r="AQ117" s="523"/>
      <c r="AR117" s="517">
        <v>0.25</v>
      </c>
      <c r="AS117" s="522" t="str">
        <f>+J117</f>
        <v>Realizar las auditorías internas , al Control Interno y otros informes , de acuerdo a lo programado para la vigencia. Plan Anual Auditorias</v>
      </c>
      <c r="AT117" s="518">
        <v>0</v>
      </c>
      <c r="AU117" s="524"/>
      <c r="AV117" s="524"/>
      <c r="AW117" s="523">
        <f t="shared" si="43"/>
        <v>0</v>
      </c>
      <c r="AX117" s="523" t="e">
        <f t="shared" si="44"/>
        <v>#DIV/0!</v>
      </c>
      <c r="AY117" s="523">
        <f t="shared" si="45"/>
        <v>0</v>
      </c>
      <c r="AZ117" s="523" t="e">
        <f t="shared" si="46"/>
        <v>#DIV/0!</v>
      </c>
      <c r="BA117" s="523"/>
      <c r="BB117" s="517">
        <v>0.5</v>
      </c>
      <c r="BC117" s="522" t="str">
        <f>+J117</f>
        <v>Realizar las auditorías internas , al Control Interno y otros informes , de acuerdo a lo programado para la vigencia. Plan Anual Auditorias</v>
      </c>
      <c r="BD117" s="518">
        <v>0</v>
      </c>
      <c r="BE117" s="524"/>
      <c r="BF117" s="524"/>
      <c r="BG117" s="517">
        <f t="shared" si="58"/>
        <v>0</v>
      </c>
      <c r="BH117" s="517" t="e">
        <f t="shared" si="59"/>
        <v>#DIV/0!</v>
      </c>
      <c r="BI117" s="517">
        <f t="shared" si="60"/>
        <v>0</v>
      </c>
      <c r="BJ117" s="517" t="e">
        <f t="shared" si="61"/>
        <v>#DIV/0!</v>
      </c>
      <c r="BK117" s="517"/>
      <c r="BL117" s="580" t="str">
        <f t="shared" si="47"/>
        <v>No Prog ni Ejec</v>
      </c>
      <c r="BM117" s="580" t="str">
        <f t="shared" si="48"/>
        <v>No Prog ni Ejec</v>
      </c>
      <c r="BN117" s="580">
        <f t="shared" si="49"/>
        <v>0</v>
      </c>
      <c r="BO117" s="580" t="str">
        <f t="shared" si="50"/>
        <v>No Prog ni Ejec</v>
      </c>
      <c r="BP117" s="580">
        <f t="shared" si="51"/>
        <v>0</v>
      </c>
      <c r="BQ117" s="580" t="str">
        <f t="shared" si="52"/>
        <v>No Prog ni Ejec</v>
      </c>
      <c r="BR117" s="580">
        <f t="shared" si="53"/>
        <v>0</v>
      </c>
      <c r="BS117" s="580" t="str">
        <f t="shared" si="54"/>
        <v>No Prog ni Ejec</v>
      </c>
      <c r="BT117" s="525">
        <f t="shared" si="55"/>
        <v>0.33333333333333331</v>
      </c>
      <c r="BU117" s="526" t="str">
        <f t="shared" si="62"/>
        <v>Realizar las auditorías internas , al Control Interno y otros informes , de acuerdo a lo programado para la vigencia. Plan Anual Auditorias</v>
      </c>
      <c r="BV117" s="527">
        <f t="shared" si="34"/>
        <v>0</v>
      </c>
      <c r="BW117" s="524"/>
      <c r="BX117" s="524"/>
      <c r="BY117" s="524"/>
      <c r="BZ117" s="524"/>
      <c r="CA117" s="524"/>
      <c r="CB117" s="524"/>
      <c r="CC117" s="524"/>
    </row>
    <row r="118" spans="1:81" s="457" customFormat="1" ht="242.25" x14ac:dyDescent="0.25">
      <c r="A118" s="513">
        <v>11800</v>
      </c>
      <c r="B118" s="514" t="s">
        <v>5</v>
      </c>
      <c r="C118" s="515" t="s">
        <v>345</v>
      </c>
      <c r="D118" s="514" t="s">
        <v>256</v>
      </c>
      <c r="E118" s="515" t="s">
        <v>552</v>
      </c>
      <c r="F118" s="514" t="s">
        <v>679</v>
      </c>
      <c r="G118" s="516" t="s">
        <v>123</v>
      </c>
      <c r="H118" s="574">
        <v>1</v>
      </c>
      <c r="I118" s="515" t="s">
        <v>553</v>
      </c>
      <c r="J118" s="514" t="s">
        <v>335</v>
      </c>
      <c r="K118" s="518">
        <v>0</v>
      </c>
      <c r="L118" s="519">
        <v>1</v>
      </c>
      <c r="M118" s="514" t="s">
        <v>50</v>
      </c>
      <c r="N118" s="514" t="s">
        <v>64</v>
      </c>
      <c r="O118" s="514" t="s">
        <v>37</v>
      </c>
      <c r="P118" s="514" t="s">
        <v>39</v>
      </c>
      <c r="Q118" s="514" t="s">
        <v>230</v>
      </c>
      <c r="R118" s="514" t="s">
        <v>343</v>
      </c>
      <c r="S118" s="514" t="s">
        <v>105</v>
      </c>
      <c r="T118" s="519">
        <v>1</v>
      </c>
      <c r="U118" s="520" t="str">
        <f t="shared" si="56"/>
        <v>Dar respuesta a requerimientos de carácter interno en el marco de la normatividad vigente</v>
      </c>
      <c r="V118" s="521">
        <f t="shared" si="57"/>
        <v>0</v>
      </c>
      <c r="W118" s="522" t="s">
        <v>117</v>
      </c>
      <c r="X118" s="517">
        <v>0.28000000000000003</v>
      </c>
      <c r="Y118" s="522" t="s">
        <v>335</v>
      </c>
      <c r="Z118" s="518">
        <v>0</v>
      </c>
      <c r="AA118" s="603">
        <v>0.28000000000000003</v>
      </c>
      <c r="AB118" s="527">
        <v>0</v>
      </c>
      <c r="AC118" s="523">
        <f t="shared" si="35"/>
        <v>1</v>
      </c>
      <c r="AD118" s="523" t="e">
        <f t="shared" si="36"/>
        <v>#DIV/0!</v>
      </c>
      <c r="AE118" s="523">
        <f t="shared" si="37"/>
        <v>0.28000000000000003</v>
      </c>
      <c r="AF118" s="523" t="e">
        <f t="shared" si="38"/>
        <v>#DIV/0!</v>
      </c>
      <c r="AG118" s="528" t="s">
        <v>1033</v>
      </c>
      <c r="AH118" s="517">
        <v>0.28000000000000003</v>
      </c>
      <c r="AI118" s="522" t="s">
        <v>335</v>
      </c>
      <c r="AJ118" s="518">
        <v>0</v>
      </c>
      <c r="AK118" s="524"/>
      <c r="AL118" s="524"/>
      <c r="AM118" s="523">
        <f t="shared" si="39"/>
        <v>0</v>
      </c>
      <c r="AN118" s="523" t="e">
        <f t="shared" si="40"/>
        <v>#DIV/0!</v>
      </c>
      <c r="AO118" s="523">
        <f t="shared" si="41"/>
        <v>0.28000000000000003</v>
      </c>
      <c r="AP118" s="523" t="e">
        <f t="shared" si="42"/>
        <v>#DIV/0!</v>
      </c>
      <c r="AQ118" s="523"/>
      <c r="AR118" s="517">
        <v>0.17</v>
      </c>
      <c r="AS118" s="522" t="s">
        <v>335</v>
      </c>
      <c r="AT118" s="518">
        <v>0</v>
      </c>
      <c r="AU118" s="524"/>
      <c r="AV118" s="524"/>
      <c r="AW118" s="523">
        <f t="shared" si="43"/>
        <v>0</v>
      </c>
      <c r="AX118" s="523" t="e">
        <f t="shared" si="44"/>
        <v>#DIV/0!</v>
      </c>
      <c r="AY118" s="523">
        <f t="shared" si="45"/>
        <v>0.28000000000000003</v>
      </c>
      <c r="AZ118" s="523" t="e">
        <f t="shared" si="46"/>
        <v>#DIV/0!</v>
      </c>
      <c r="BA118" s="523"/>
      <c r="BB118" s="517">
        <v>0.28000000000000003</v>
      </c>
      <c r="BC118" s="522" t="s">
        <v>335</v>
      </c>
      <c r="BD118" s="518">
        <v>0</v>
      </c>
      <c r="BE118" s="524"/>
      <c r="BF118" s="524"/>
      <c r="BG118" s="517">
        <f t="shared" si="58"/>
        <v>0</v>
      </c>
      <c r="BH118" s="517" t="e">
        <f t="shared" si="59"/>
        <v>#DIV/0!</v>
      </c>
      <c r="BI118" s="517">
        <f t="shared" si="60"/>
        <v>0.28000000000000003</v>
      </c>
      <c r="BJ118" s="517" t="e">
        <f t="shared" si="61"/>
        <v>#DIV/0!</v>
      </c>
      <c r="BK118" s="517"/>
      <c r="BL118" s="580">
        <f t="shared" si="47"/>
        <v>1</v>
      </c>
      <c r="BM118" s="580" t="str">
        <f t="shared" si="48"/>
        <v>No Prog ni Ejec</v>
      </c>
      <c r="BN118" s="580">
        <f t="shared" si="49"/>
        <v>0</v>
      </c>
      <c r="BO118" s="580" t="str">
        <f t="shared" si="50"/>
        <v>No Prog ni Ejec</v>
      </c>
      <c r="BP118" s="580">
        <f t="shared" si="51"/>
        <v>0</v>
      </c>
      <c r="BQ118" s="580" t="str">
        <f t="shared" si="52"/>
        <v>No Prog ni Ejec</v>
      </c>
      <c r="BR118" s="580">
        <f t="shared" si="53"/>
        <v>0</v>
      </c>
      <c r="BS118" s="580" t="str">
        <f t="shared" si="54"/>
        <v>No Prog ni Ejec</v>
      </c>
      <c r="BT118" s="525">
        <f t="shared" si="55"/>
        <v>0.6166666666666667</v>
      </c>
      <c r="BU118" s="526" t="str">
        <f t="shared" si="62"/>
        <v>Dar respuesta a requerimientos de carácter interno en el marco de la normatividad vigente</v>
      </c>
      <c r="BV118" s="527">
        <f t="shared" si="34"/>
        <v>0</v>
      </c>
      <c r="BW118" s="524"/>
      <c r="BX118" s="524"/>
      <c r="BY118" s="524"/>
      <c r="BZ118" s="524"/>
      <c r="CA118" s="524"/>
      <c r="CB118" s="524"/>
      <c r="CC118" s="524"/>
    </row>
    <row r="119" spans="1:81" s="457" customFormat="1" ht="409.5" x14ac:dyDescent="0.25">
      <c r="A119" s="513">
        <v>11800</v>
      </c>
      <c r="B119" s="514" t="s">
        <v>5</v>
      </c>
      <c r="C119" s="515" t="s">
        <v>346</v>
      </c>
      <c r="D119" s="514" t="s">
        <v>256</v>
      </c>
      <c r="E119" s="515" t="s">
        <v>554</v>
      </c>
      <c r="F119" s="514" t="s">
        <v>680</v>
      </c>
      <c r="G119" s="516" t="s">
        <v>123</v>
      </c>
      <c r="H119" s="574">
        <v>1</v>
      </c>
      <c r="I119" s="515" t="s">
        <v>555</v>
      </c>
      <c r="J119" s="514" t="s">
        <v>336</v>
      </c>
      <c r="K119" s="518">
        <v>0</v>
      </c>
      <c r="L119" s="519">
        <v>1</v>
      </c>
      <c r="M119" s="514" t="s">
        <v>50</v>
      </c>
      <c r="N119" s="514" t="s">
        <v>64</v>
      </c>
      <c r="O119" s="514" t="s">
        <v>37</v>
      </c>
      <c r="P119" s="514" t="s">
        <v>39</v>
      </c>
      <c r="Q119" s="514" t="s">
        <v>230</v>
      </c>
      <c r="R119" s="514" t="s">
        <v>344</v>
      </c>
      <c r="S119" s="514" t="s">
        <v>105</v>
      </c>
      <c r="T119" s="519">
        <v>1</v>
      </c>
      <c r="U119" s="520" t="str">
        <f t="shared" si="56"/>
        <v>Dar respuesta a requerimientos de organismos externos en el marco de la normatividad vigente</v>
      </c>
      <c r="V119" s="521">
        <f t="shared" si="57"/>
        <v>0</v>
      </c>
      <c r="W119" s="522" t="s">
        <v>117</v>
      </c>
      <c r="X119" s="517">
        <v>0.53</v>
      </c>
      <c r="Y119" s="522" t="s">
        <v>336</v>
      </c>
      <c r="Z119" s="518">
        <v>0</v>
      </c>
      <c r="AA119" s="619">
        <v>0.47</v>
      </c>
      <c r="AB119" s="527">
        <v>0</v>
      </c>
      <c r="AC119" s="523">
        <f t="shared" si="35"/>
        <v>0.88679245283018859</v>
      </c>
      <c r="AD119" s="523" t="e">
        <f t="shared" si="36"/>
        <v>#DIV/0!</v>
      </c>
      <c r="AE119" s="523">
        <f t="shared" si="37"/>
        <v>0.47</v>
      </c>
      <c r="AF119" s="523" t="e">
        <f t="shared" si="38"/>
        <v>#DIV/0!</v>
      </c>
      <c r="AG119" s="528" t="s">
        <v>1034</v>
      </c>
      <c r="AH119" s="517">
        <v>0.12</v>
      </c>
      <c r="AI119" s="522" t="s">
        <v>336</v>
      </c>
      <c r="AJ119" s="518">
        <v>0</v>
      </c>
      <c r="AK119" s="524"/>
      <c r="AL119" s="524"/>
      <c r="AM119" s="523">
        <f t="shared" si="39"/>
        <v>0</v>
      </c>
      <c r="AN119" s="523" t="e">
        <f t="shared" si="40"/>
        <v>#DIV/0!</v>
      </c>
      <c r="AO119" s="523">
        <f t="shared" si="41"/>
        <v>0.47</v>
      </c>
      <c r="AP119" s="523" t="e">
        <f t="shared" si="42"/>
        <v>#DIV/0!</v>
      </c>
      <c r="AQ119" s="523"/>
      <c r="AR119" s="517">
        <v>0.24</v>
      </c>
      <c r="AS119" s="522" t="s">
        <v>336</v>
      </c>
      <c r="AT119" s="518">
        <v>0</v>
      </c>
      <c r="AU119" s="524"/>
      <c r="AV119" s="524"/>
      <c r="AW119" s="523">
        <f t="shared" si="43"/>
        <v>0</v>
      </c>
      <c r="AX119" s="523" t="e">
        <f t="shared" si="44"/>
        <v>#DIV/0!</v>
      </c>
      <c r="AY119" s="523">
        <f t="shared" si="45"/>
        <v>0.47</v>
      </c>
      <c r="AZ119" s="523" t="e">
        <f t="shared" si="46"/>
        <v>#DIV/0!</v>
      </c>
      <c r="BA119" s="523"/>
      <c r="BB119" s="517">
        <v>0.12</v>
      </c>
      <c r="BC119" s="522" t="s">
        <v>336</v>
      </c>
      <c r="BD119" s="518">
        <v>0</v>
      </c>
      <c r="BE119" s="524"/>
      <c r="BF119" s="524"/>
      <c r="BG119" s="517">
        <f t="shared" si="58"/>
        <v>0</v>
      </c>
      <c r="BH119" s="517" t="e">
        <f t="shared" si="59"/>
        <v>#DIV/0!</v>
      </c>
      <c r="BI119" s="517">
        <f t="shared" si="60"/>
        <v>0.47</v>
      </c>
      <c r="BJ119" s="517" t="e">
        <f t="shared" si="61"/>
        <v>#DIV/0!</v>
      </c>
      <c r="BK119" s="517"/>
      <c r="BL119" s="580">
        <f t="shared" si="47"/>
        <v>0.88679245283018859</v>
      </c>
      <c r="BM119" s="580" t="str">
        <f t="shared" si="48"/>
        <v>No Prog ni Ejec</v>
      </c>
      <c r="BN119" s="580">
        <f t="shared" si="49"/>
        <v>0</v>
      </c>
      <c r="BO119" s="580" t="str">
        <f t="shared" si="50"/>
        <v>No Prog ni Ejec</v>
      </c>
      <c r="BP119" s="580">
        <f t="shared" si="51"/>
        <v>0</v>
      </c>
      <c r="BQ119" s="580" t="str">
        <f t="shared" si="52"/>
        <v>No Prog ni Ejec</v>
      </c>
      <c r="BR119" s="580">
        <f t="shared" si="53"/>
        <v>0</v>
      </c>
      <c r="BS119" s="580" t="str">
        <f t="shared" si="54"/>
        <v>No Prog ni Ejec</v>
      </c>
      <c r="BT119" s="525">
        <f t="shared" si="55"/>
        <v>0.73</v>
      </c>
      <c r="BU119" s="526" t="str">
        <f t="shared" si="62"/>
        <v>Dar respuesta a requerimientos de organismos externos en el marco de la normatividad vigente</v>
      </c>
      <c r="BV119" s="527">
        <f t="shared" si="34"/>
        <v>0</v>
      </c>
      <c r="BW119" s="524"/>
      <c r="BX119" s="524"/>
      <c r="BY119" s="524"/>
      <c r="BZ119" s="524"/>
      <c r="CA119" s="524"/>
      <c r="CB119" s="524"/>
      <c r="CC119" s="524"/>
    </row>
    <row r="120" spans="1:81" s="457" customFormat="1" ht="114.75" x14ac:dyDescent="0.25">
      <c r="A120" s="513">
        <v>11800</v>
      </c>
      <c r="B120" s="514" t="s">
        <v>5</v>
      </c>
      <c r="C120" s="515" t="s">
        <v>347</v>
      </c>
      <c r="D120" s="514" t="s">
        <v>256</v>
      </c>
      <c r="E120" s="515" t="s">
        <v>556</v>
      </c>
      <c r="F120" s="514" t="s">
        <v>681</v>
      </c>
      <c r="G120" s="516" t="s">
        <v>123</v>
      </c>
      <c r="H120" s="574">
        <v>1</v>
      </c>
      <c r="I120" s="515" t="s">
        <v>558</v>
      </c>
      <c r="J120" s="514" t="s">
        <v>337</v>
      </c>
      <c r="K120" s="518">
        <v>0</v>
      </c>
      <c r="L120" s="519">
        <v>1</v>
      </c>
      <c r="M120" s="514" t="s">
        <v>50</v>
      </c>
      <c r="N120" s="514" t="s">
        <v>64</v>
      </c>
      <c r="O120" s="514" t="s">
        <v>37</v>
      </c>
      <c r="P120" s="514" t="s">
        <v>39</v>
      </c>
      <c r="Q120" s="514" t="s">
        <v>230</v>
      </c>
      <c r="R120" s="514" t="s">
        <v>340</v>
      </c>
      <c r="S120" s="514" t="s">
        <v>105</v>
      </c>
      <c r="T120" s="519">
        <v>1</v>
      </c>
      <c r="U120" s="520" t="str">
        <f t="shared" si="56"/>
        <v>Medir el grado de cumplimiento de las acciones que hacen parte del Plan de mejoramiento institucional derivadas de la Auditoría de la CGR.</v>
      </c>
      <c r="V120" s="521">
        <f t="shared" si="57"/>
        <v>0</v>
      </c>
      <c r="W120" s="522" t="s">
        <v>117</v>
      </c>
      <c r="X120" s="517">
        <v>0.5</v>
      </c>
      <c r="Y120" s="522" t="s">
        <v>337</v>
      </c>
      <c r="Z120" s="518">
        <v>0</v>
      </c>
      <c r="AA120" s="525">
        <v>0.5</v>
      </c>
      <c r="AB120" s="527">
        <v>0</v>
      </c>
      <c r="AC120" s="523">
        <f t="shared" si="35"/>
        <v>1</v>
      </c>
      <c r="AD120" s="523" t="e">
        <f t="shared" si="36"/>
        <v>#DIV/0!</v>
      </c>
      <c r="AE120" s="523">
        <f t="shared" si="37"/>
        <v>0.5</v>
      </c>
      <c r="AF120" s="523" t="e">
        <f t="shared" si="38"/>
        <v>#DIV/0!</v>
      </c>
      <c r="AG120" s="528" t="s">
        <v>1035</v>
      </c>
      <c r="AH120" s="517">
        <v>0</v>
      </c>
      <c r="AI120" s="522" t="s">
        <v>337</v>
      </c>
      <c r="AJ120" s="518">
        <v>0</v>
      </c>
      <c r="AK120" s="524"/>
      <c r="AL120" s="524"/>
      <c r="AM120" s="523" t="e">
        <f t="shared" si="39"/>
        <v>#DIV/0!</v>
      </c>
      <c r="AN120" s="523" t="e">
        <f t="shared" si="40"/>
        <v>#DIV/0!</v>
      </c>
      <c r="AO120" s="523">
        <f t="shared" si="41"/>
        <v>0.5</v>
      </c>
      <c r="AP120" s="523" t="e">
        <f t="shared" si="42"/>
        <v>#DIV/0!</v>
      </c>
      <c r="AQ120" s="523"/>
      <c r="AR120" s="517">
        <v>0.5</v>
      </c>
      <c r="AS120" s="522" t="s">
        <v>337</v>
      </c>
      <c r="AT120" s="518">
        <v>0</v>
      </c>
      <c r="AU120" s="524"/>
      <c r="AV120" s="524"/>
      <c r="AW120" s="523">
        <f t="shared" si="43"/>
        <v>0</v>
      </c>
      <c r="AX120" s="523" t="e">
        <f t="shared" si="44"/>
        <v>#DIV/0!</v>
      </c>
      <c r="AY120" s="523">
        <f t="shared" si="45"/>
        <v>0.5</v>
      </c>
      <c r="AZ120" s="523" t="e">
        <f t="shared" si="46"/>
        <v>#DIV/0!</v>
      </c>
      <c r="BA120" s="523"/>
      <c r="BB120" s="517">
        <v>0</v>
      </c>
      <c r="BC120" s="522" t="s">
        <v>337</v>
      </c>
      <c r="BD120" s="518">
        <v>0</v>
      </c>
      <c r="BE120" s="524"/>
      <c r="BF120" s="524"/>
      <c r="BG120" s="517" t="e">
        <f t="shared" si="58"/>
        <v>#DIV/0!</v>
      </c>
      <c r="BH120" s="517" t="e">
        <f t="shared" si="59"/>
        <v>#DIV/0!</v>
      </c>
      <c r="BI120" s="517">
        <f t="shared" si="60"/>
        <v>0.5</v>
      </c>
      <c r="BJ120" s="517" t="e">
        <f t="shared" si="61"/>
        <v>#DIV/0!</v>
      </c>
      <c r="BK120" s="517"/>
      <c r="BL120" s="580">
        <f t="shared" si="47"/>
        <v>1</v>
      </c>
      <c r="BM120" s="580" t="str">
        <f t="shared" si="48"/>
        <v>No Prog ni Ejec</v>
      </c>
      <c r="BN120" s="580" t="str">
        <f t="shared" si="49"/>
        <v>No Prog ni Ejec</v>
      </c>
      <c r="BO120" s="580" t="str">
        <f t="shared" si="50"/>
        <v>No Prog ni Ejec</v>
      </c>
      <c r="BP120" s="580">
        <f t="shared" si="51"/>
        <v>0</v>
      </c>
      <c r="BQ120" s="580" t="str">
        <f t="shared" si="52"/>
        <v>No Prog ni Ejec</v>
      </c>
      <c r="BR120" s="580" t="str">
        <f t="shared" si="53"/>
        <v>No Prog ni Ejec</v>
      </c>
      <c r="BS120" s="580" t="str">
        <f t="shared" si="54"/>
        <v>No Prog ni Ejec</v>
      </c>
      <c r="BT120" s="525">
        <f t="shared" si="55"/>
        <v>0.66666666666666663</v>
      </c>
      <c r="BU120" s="526" t="str">
        <f t="shared" si="62"/>
        <v>Medir el grado de cumplimiento de las acciones que hacen parte del Plan de mejoramiento institucional derivadas de la Auditoría de la CGR.</v>
      </c>
      <c r="BV120" s="527">
        <f t="shared" si="34"/>
        <v>0</v>
      </c>
      <c r="BW120" s="524"/>
      <c r="BX120" s="524"/>
      <c r="BY120" s="524"/>
      <c r="BZ120" s="524"/>
      <c r="CA120" s="524"/>
      <c r="CB120" s="524"/>
      <c r="CC120" s="524"/>
    </row>
    <row r="121" spans="1:81" s="457" customFormat="1" ht="89.25" x14ac:dyDescent="0.25">
      <c r="A121" s="513">
        <v>11800</v>
      </c>
      <c r="B121" s="514" t="s">
        <v>5</v>
      </c>
      <c r="C121" s="515" t="s">
        <v>348</v>
      </c>
      <c r="D121" s="514" t="s">
        <v>256</v>
      </c>
      <c r="E121" s="515" t="s">
        <v>557</v>
      </c>
      <c r="F121" s="514" t="s">
        <v>682</v>
      </c>
      <c r="G121" s="516" t="s">
        <v>123</v>
      </c>
      <c r="H121" s="574">
        <v>1</v>
      </c>
      <c r="I121" s="515" t="s">
        <v>559</v>
      </c>
      <c r="J121" s="514" t="s">
        <v>338</v>
      </c>
      <c r="K121" s="518">
        <v>0</v>
      </c>
      <c r="L121" s="519">
        <v>1</v>
      </c>
      <c r="M121" s="514" t="s">
        <v>51</v>
      </c>
      <c r="N121" s="514" t="s">
        <v>56</v>
      </c>
      <c r="O121" s="514" t="s">
        <v>21</v>
      </c>
      <c r="P121" s="514" t="s">
        <v>23</v>
      </c>
      <c r="Q121" s="514" t="s">
        <v>230</v>
      </c>
      <c r="R121" s="514" t="s">
        <v>341</v>
      </c>
      <c r="S121" s="514" t="s">
        <v>105</v>
      </c>
      <c r="T121" s="519">
        <v>1</v>
      </c>
      <c r="U121" s="520" t="str">
        <f t="shared" si="56"/>
        <v>Comunicar mensajes con contenidos de autocontrol y de esta manera fomentar la cultura del autocontrol en la ADRES.</v>
      </c>
      <c r="V121" s="521">
        <f t="shared" si="57"/>
        <v>0</v>
      </c>
      <c r="W121" s="522" t="s">
        <v>114</v>
      </c>
      <c r="X121" s="517">
        <v>0.25</v>
      </c>
      <c r="Y121" s="522" t="s">
        <v>338</v>
      </c>
      <c r="Z121" s="518">
        <v>0</v>
      </c>
      <c r="AA121" s="603">
        <v>0.25</v>
      </c>
      <c r="AB121" s="527">
        <v>0</v>
      </c>
      <c r="AC121" s="523">
        <f t="shared" si="35"/>
        <v>1</v>
      </c>
      <c r="AD121" s="523" t="e">
        <f t="shared" si="36"/>
        <v>#DIV/0!</v>
      </c>
      <c r="AE121" s="523">
        <f t="shared" si="37"/>
        <v>0.25</v>
      </c>
      <c r="AF121" s="523" t="e">
        <f t="shared" si="38"/>
        <v>#DIV/0!</v>
      </c>
      <c r="AG121" s="528" t="s">
        <v>994</v>
      </c>
      <c r="AH121" s="517">
        <v>0.25</v>
      </c>
      <c r="AI121" s="522" t="s">
        <v>338</v>
      </c>
      <c r="AJ121" s="518">
        <v>0</v>
      </c>
      <c r="AK121" s="524"/>
      <c r="AL121" s="524"/>
      <c r="AM121" s="523">
        <f t="shared" si="39"/>
        <v>0</v>
      </c>
      <c r="AN121" s="523" t="e">
        <f t="shared" si="40"/>
        <v>#DIV/0!</v>
      </c>
      <c r="AO121" s="523">
        <f t="shared" si="41"/>
        <v>0.25</v>
      </c>
      <c r="AP121" s="523" t="e">
        <f t="shared" si="42"/>
        <v>#DIV/0!</v>
      </c>
      <c r="AQ121" s="523"/>
      <c r="AR121" s="517">
        <v>0.25</v>
      </c>
      <c r="AS121" s="522" t="s">
        <v>338</v>
      </c>
      <c r="AT121" s="518">
        <v>0</v>
      </c>
      <c r="AU121" s="524"/>
      <c r="AV121" s="524"/>
      <c r="AW121" s="523">
        <f t="shared" si="43"/>
        <v>0</v>
      </c>
      <c r="AX121" s="523" t="e">
        <f t="shared" si="44"/>
        <v>#DIV/0!</v>
      </c>
      <c r="AY121" s="523">
        <f t="shared" si="45"/>
        <v>0.25</v>
      </c>
      <c r="AZ121" s="523" t="e">
        <f t="shared" si="46"/>
        <v>#DIV/0!</v>
      </c>
      <c r="BA121" s="523"/>
      <c r="BB121" s="517">
        <v>0.25</v>
      </c>
      <c r="BC121" s="522" t="s">
        <v>338</v>
      </c>
      <c r="BD121" s="518">
        <v>0</v>
      </c>
      <c r="BE121" s="524"/>
      <c r="BF121" s="524"/>
      <c r="BG121" s="517">
        <f t="shared" si="58"/>
        <v>0</v>
      </c>
      <c r="BH121" s="517" t="e">
        <f t="shared" si="59"/>
        <v>#DIV/0!</v>
      </c>
      <c r="BI121" s="517">
        <f t="shared" si="60"/>
        <v>0.25</v>
      </c>
      <c r="BJ121" s="517" t="e">
        <f t="shared" si="61"/>
        <v>#DIV/0!</v>
      </c>
      <c r="BK121" s="517"/>
      <c r="BL121" s="580">
        <f t="shared" si="47"/>
        <v>1</v>
      </c>
      <c r="BM121" s="580" t="str">
        <f t="shared" si="48"/>
        <v>No Prog ni Ejec</v>
      </c>
      <c r="BN121" s="580">
        <f t="shared" si="49"/>
        <v>0</v>
      </c>
      <c r="BO121" s="580" t="str">
        <f t="shared" si="50"/>
        <v>No Prog ni Ejec</v>
      </c>
      <c r="BP121" s="580">
        <f t="shared" si="51"/>
        <v>0</v>
      </c>
      <c r="BQ121" s="580" t="str">
        <f t="shared" si="52"/>
        <v>No Prog ni Ejec</v>
      </c>
      <c r="BR121" s="580">
        <f t="shared" si="53"/>
        <v>0</v>
      </c>
      <c r="BS121" s="580" t="str">
        <f t="shared" si="54"/>
        <v>No Prog ni Ejec</v>
      </c>
      <c r="BT121" s="525">
        <f t="shared" si="55"/>
        <v>0.58333333333333337</v>
      </c>
      <c r="BU121" s="526" t="str">
        <f t="shared" si="62"/>
        <v>Comunicar mensajes con contenidos de autocontrol y de esta manera fomentar la cultura del autocontrol en la ADRES.</v>
      </c>
      <c r="BV121" s="527">
        <f t="shared" si="34"/>
        <v>0</v>
      </c>
      <c r="BW121" s="524"/>
      <c r="BX121" s="524"/>
      <c r="BY121" s="524"/>
      <c r="BZ121" s="524"/>
      <c r="CA121" s="524"/>
      <c r="CB121" s="524"/>
      <c r="CC121" s="524"/>
    </row>
    <row r="122" spans="1:81" s="457" customFormat="1" ht="51" x14ac:dyDescent="0.25">
      <c r="A122" s="513">
        <v>11900</v>
      </c>
      <c r="B122" s="514" t="s">
        <v>349</v>
      </c>
      <c r="C122" s="515" t="s">
        <v>350</v>
      </c>
      <c r="D122" s="514" t="s">
        <v>153</v>
      </c>
      <c r="E122" s="515" t="s">
        <v>352</v>
      </c>
      <c r="F122" s="514" t="s">
        <v>763</v>
      </c>
      <c r="G122" s="516" t="s">
        <v>124</v>
      </c>
      <c r="H122" s="515">
        <v>4</v>
      </c>
      <c r="I122" s="515" t="s">
        <v>544</v>
      </c>
      <c r="J122" s="514" t="s">
        <v>685</v>
      </c>
      <c r="K122" s="518">
        <v>0</v>
      </c>
      <c r="L122" s="519">
        <v>1</v>
      </c>
      <c r="M122" s="514" t="s">
        <v>51</v>
      </c>
      <c r="N122" s="514" t="s">
        <v>68</v>
      </c>
      <c r="O122" s="514" t="s">
        <v>21</v>
      </c>
      <c r="P122" s="514" t="s">
        <v>36</v>
      </c>
      <c r="Q122" s="514" t="s">
        <v>75</v>
      </c>
      <c r="R122" s="514" t="s">
        <v>631</v>
      </c>
      <c r="S122" s="514" t="s">
        <v>98</v>
      </c>
      <c r="T122" s="555">
        <v>4</v>
      </c>
      <c r="U122" s="520" t="str">
        <f t="shared" si="56"/>
        <v xml:space="preserve">
Reportar  trimestralmente el cumplimiento del Plan de Acción de la Dependencia</v>
      </c>
      <c r="V122" s="521">
        <f t="shared" si="57"/>
        <v>0</v>
      </c>
      <c r="W122" s="522" t="s">
        <v>117</v>
      </c>
      <c r="X122" s="547">
        <v>1</v>
      </c>
      <c r="Y122" s="522" t="s">
        <v>685</v>
      </c>
      <c r="Z122" s="518">
        <v>0</v>
      </c>
      <c r="AA122" s="524">
        <v>1</v>
      </c>
      <c r="AB122" s="527">
        <v>0</v>
      </c>
      <c r="AC122" s="523">
        <f t="shared" si="35"/>
        <v>1</v>
      </c>
      <c r="AD122" s="523" t="e">
        <f t="shared" si="36"/>
        <v>#DIV/0!</v>
      </c>
      <c r="AE122" s="523">
        <f t="shared" si="37"/>
        <v>0.25</v>
      </c>
      <c r="AF122" s="523" t="e">
        <f t="shared" si="38"/>
        <v>#DIV/0!</v>
      </c>
      <c r="AG122" s="523"/>
      <c r="AH122" s="517">
        <v>1</v>
      </c>
      <c r="AI122" s="522" t="s">
        <v>685</v>
      </c>
      <c r="AJ122" s="518">
        <v>0</v>
      </c>
      <c r="AK122" s="524"/>
      <c r="AL122" s="524"/>
      <c r="AM122" s="523">
        <f t="shared" si="39"/>
        <v>0</v>
      </c>
      <c r="AN122" s="523" t="e">
        <f t="shared" si="40"/>
        <v>#DIV/0!</v>
      </c>
      <c r="AO122" s="523">
        <f t="shared" si="41"/>
        <v>0.25</v>
      </c>
      <c r="AP122" s="523" t="e">
        <f t="shared" si="42"/>
        <v>#DIV/0!</v>
      </c>
      <c r="AQ122" s="523"/>
      <c r="AR122" s="517">
        <v>1</v>
      </c>
      <c r="AS122" s="522" t="s">
        <v>685</v>
      </c>
      <c r="AT122" s="518">
        <v>0</v>
      </c>
      <c r="AU122" s="524"/>
      <c r="AV122" s="524"/>
      <c r="AW122" s="523">
        <f t="shared" si="43"/>
        <v>0</v>
      </c>
      <c r="AX122" s="523" t="e">
        <f t="shared" si="44"/>
        <v>#DIV/0!</v>
      </c>
      <c r="AY122" s="523">
        <f t="shared" si="45"/>
        <v>0.25</v>
      </c>
      <c r="AZ122" s="523" t="e">
        <f t="shared" si="46"/>
        <v>#DIV/0!</v>
      </c>
      <c r="BA122" s="523"/>
      <c r="BB122" s="517">
        <v>1</v>
      </c>
      <c r="BC122" s="522" t="s">
        <v>685</v>
      </c>
      <c r="BD122" s="518">
        <v>0</v>
      </c>
      <c r="BE122" s="524"/>
      <c r="BF122" s="524"/>
      <c r="BG122" s="517">
        <f t="shared" si="58"/>
        <v>0</v>
      </c>
      <c r="BH122" s="517" t="e">
        <f t="shared" si="59"/>
        <v>#DIV/0!</v>
      </c>
      <c r="BI122" s="517">
        <f t="shared" si="60"/>
        <v>0.25</v>
      </c>
      <c r="BJ122" s="517" t="e">
        <f t="shared" si="61"/>
        <v>#DIV/0!</v>
      </c>
      <c r="BK122" s="517"/>
      <c r="BL122" s="580">
        <f t="shared" si="47"/>
        <v>1</v>
      </c>
      <c r="BM122" s="580" t="str">
        <f t="shared" si="48"/>
        <v>No Prog ni Ejec</v>
      </c>
      <c r="BN122" s="580">
        <f t="shared" si="49"/>
        <v>0</v>
      </c>
      <c r="BO122" s="580" t="str">
        <f t="shared" si="50"/>
        <v>No Prog ni Ejec</v>
      </c>
      <c r="BP122" s="580">
        <f t="shared" si="51"/>
        <v>0</v>
      </c>
      <c r="BQ122" s="580" t="str">
        <f t="shared" si="52"/>
        <v>No Prog ni Ejec</v>
      </c>
      <c r="BR122" s="580">
        <f t="shared" si="53"/>
        <v>0</v>
      </c>
      <c r="BS122" s="580" t="str">
        <f t="shared" si="54"/>
        <v>No Prog ni Ejec</v>
      </c>
      <c r="BT122" s="553">
        <f t="shared" si="55"/>
        <v>2.3333333333333335</v>
      </c>
      <c r="BU122" s="526" t="str">
        <f t="shared" si="62"/>
        <v xml:space="preserve">
Reportar  trimestralmente el cumplimiento del Plan de Acción de la Dependencia</v>
      </c>
      <c r="BV122" s="527">
        <f t="shared" si="34"/>
        <v>0</v>
      </c>
      <c r="BW122" s="524"/>
      <c r="BX122" s="524"/>
      <c r="BY122" s="524"/>
      <c r="BZ122" s="524"/>
      <c r="CA122" s="524"/>
      <c r="CB122" s="524"/>
      <c r="CC122" s="524"/>
    </row>
    <row r="123" spans="1:81" s="457" customFormat="1" ht="89.25" x14ac:dyDescent="0.25">
      <c r="A123" s="513">
        <v>11900</v>
      </c>
      <c r="B123" s="514" t="s">
        <v>349</v>
      </c>
      <c r="C123" s="515" t="s">
        <v>351</v>
      </c>
      <c r="D123" s="514" t="s">
        <v>256</v>
      </c>
      <c r="E123" s="515" t="s">
        <v>353</v>
      </c>
      <c r="F123" s="514" t="s">
        <v>686</v>
      </c>
      <c r="G123" s="516" t="s">
        <v>123</v>
      </c>
      <c r="H123" s="517">
        <v>1</v>
      </c>
      <c r="I123" s="515" t="s">
        <v>545</v>
      </c>
      <c r="J123" s="514" t="s">
        <v>598</v>
      </c>
      <c r="K123" s="518">
        <v>0</v>
      </c>
      <c r="L123" s="519">
        <v>1</v>
      </c>
      <c r="M123" s="514" t="s">
        <v>51</v>
      </c>
      <c r="N123" s="514" t="s">
        <v>68</v>
      </c>
      <c r="O123" s="514" t="s">
        <v>21</v>
      </c>
      <c r="P123" s="514" t="s">
        <v>36</v>
      </c>
      <c r="Q123" s="514" t="s">
        <v>75</v>
      </c>
      <c r="R123" s="514" t="s">
        <v>672</v>
      </c>
      <c r="S123" s="514" t="s">
        <v>98</v>
      </c>
      <c r="T123" s="519">
        <v>1</v>
      </c>
      <c r="U123" s="520" t="str">
        <f t="shared" si="56"/>
        <v>Formular los procesos y procedimientos en el marco del MIPG</v>
      </c>
      <c r="V123" s="521">
        <f t="shared" si="57"/>
        <v>0</v>
      </c>
      <c r="W123" s="522" t="s">
        <v>117</v>
      </c>
      <c r="X123" s="517">
        <v>0.25</v>
      </c>
      <c r="Y123" s="522" t="s">
        <v>653</v>
      </c>
      <c r="Z123" s="518">
        <v>0</v>
      </c>
      <c r="AA123" s="525">
        <f>(2/9)*25%</f>
        <v>5.5555555555555552E-2</v>
      </c>
      <c r="AB123" s="527">
        <v>0</v>
      </c>
      <c r="AC123" s="523">
        <f t="shared" si="35"/>
        <v>0.22222222222222221</v>
      </c>
      <c r="AD123" s="523" t="e">
        <f t="shared" si="36"/>
        <v>#DIV/0!</v>
      </c>
      <c r="AE123" s="523">
        <f t="shared" si="37"/>
        <v>5.5555555555555552E-2</v>
      </c>
      <c r="AF123" s="523" t="e">
        <f t="shared" si="38"/>
        <v>#DIV/0!</v>
      </c>
      <c r="AG123" s="523"/>
      <c r="AH123" s="517">
        <v>0.25</v>
      </c>
      <c r="AI123" s="522" t="s">
        <v>653</v>
      </c>
      <c r="AJ123" s="518">
        <v>0</v>
      </c>
      <c r="AK123" s="524"/>
      <c r="AL123" s="524"/>
      <c r="AM123" s="523">
        <f t="shared" si="39"/>
        <v>0</v>
      </c>
      <c r="AN123" s="523" t="e">
        <f t="shared" si="40"/>
        <v>#DIV/0!</v>
      </c>
      <c r="AO123" s="523">
        <f t="shared" si="41"/>
        <v>5.5555555555555552E-2</v>
      </c>
      <c r="AP123" s="523" t="e">
        <f t="shared" si="42"/>
        <v>#DIV/0!</v>
      </c>
      <c r="AQ123" s="523"/>
      <c r="AR123" s="517">
        <v>0.25</v>
      </c>
      <c r="AS123" s="522" t="s">
        <v>653</v>
      </c>
      <c r="AT123" s="518">
        <v>0</v>
      </c>
      <c r="AU123" s="524"/>
      <c r="AV123" s="524"/>
      <c r="AW123" s="523">
        <f t="shared" si="43"/>
        <v>0</v>
      </c>
      <c r="AX123" s="523" t="e">
        <f t="shared" si="44"/>
        <v>#DIV/0!</v>
      </c>
      <c r="AY123" s="523">
        <f t="shared" si="45"/>
        <v>5.5555555555555552E-2</v>
      </c>
      <c r="AZ123" s="523" t="e">
        <f t="shared" si="46"/>
        <v>#DIV/0!</v>
      </c>
      <c r="BA123" s="523"/>
      <c r="BB123" s="517">
        <v>0.25</v>
      </c>
      <c r="BC123" s="522" t="s">
        <v>653</v>
      </c>
      <c r="BD123" s="518">
        <v>0</v>
      </c>
      <c r="BE123" s="524"/>
      <c r="BF123" s="524"/>
      <c r="BG123" s="517">
        <f t="shared" si="58"/>
        <v>0</v>
      </c>
      <c r="BH123" s="517" t="e">
        <f t="shared" si="59"/>
        <v>#DIV/0!</v>
      </c>
      <c r="BI123" s="517">
        <f t="shared" si="60"/>
        <v>5.5555555555555552E-2</v>
      </c>
      <c r="BJ123" s="517" t="e">
        <f t="shared" si="61"/>
        <v>#DIV/0!</v>
      </c>
      <c r="BK123" s="517"/>
      <c r="BL123" s="580">
        <f t="shared" si="47"/>
        <v>0.22222222222222221</v>
      </c>
      <c r="BM123" s="580" t="str">
        <f t="shared" si="48"/>
        <v>No Prog ni Ejec</v>
      </c>
      <c r="BN123" s="580">
        <f t="shared" si="49"/>
        <v>0</v>
      </c>
      <c r="BO123" s="580" t="str">
        <f t="shared" si="50"/>
        <v>No Prog ni Ejec</v>
      </c>
      <c r="BP123" s="580">
        <f t="shared" si="51"/>
        <v>0</v>
      </c>
      <c r="BQ123" s="580" t="str">
        <f t="shared" si="52"/>
        <v>No Prog ni Ejec</v>
      </c>
      <c r="BR123" s="580">
        <f t="shared" si="53"/>
        <v>0</v>
      </c>
      <c r="BS123" s="580" t="str">
        <f t="shared" si="54"/>
        <v>No Prog ni Ejec</v>
      </c>
      <c r="BT123" s="525">
        <f t="shared" si="55"/>
        <v>0.58333333333333337</v>
      </c>
      <c r="BU123" s="526" t="str">
        <f t="shared" si="62"/>
        <v>Formular los procesos y procedimientos en el marco del MIPG</v>
      </c>
      <c r="BV123" s="527">
        <f t="shared" si="34"/>
        <v>0</v>
      </c>
      <c r="BW123" s="524"/>
      <c r="BX123" s="524"/>
      <c r="BY123" s="524"/>
      <c r="BZ123" s="524"/>
      <c r="CA123" s="524"/>
      <c r="CB123" s="524"/>
      <c r="CC123" s="524"/>
    </row>
    <row r="124" spans="1:81" s="457" customFormat="1" ht="89.25" x14ac:dyDescent="0.25">
      <c r="A124" s="513">
        <v>11900</v>
      </c>
      <c r="B124" s="514" t="s">
        <v>349</v>
      </c>
      <c r="C124" s="515" t="s">
        <v>351</v>
      </c>
      <c r="D124" s="514" t="s">
        <v>256</v>
      </c>
      <c r="E124" s="515" t="s">
        <v>354</v>
      </c>
      <c r="F124" s="514" t="s">
        <v>687</v>
      </c>
      <c r="G124" s="516" t="s">
        <v>124</v>
      </c>
      <c r="H124" s="515">
        <v>4</v>
      </c>
      <c r="I124" s="515" t="s">
        <v>560</v>
      </c>
      <c r="J124" s="514" t="s">
        <v>688</v>
      </c>
      <c r="K124" s="518">
        <v>0</v>
      </c>
      <c r="L124" s="519">
        <v>1</v>
      </c>
      <c r="M124" s="514" t="s">
        <v>51</v>
      </c>
      <c r="N124" s="514" t="s">
        <v>68</v>
      </c>
      <c r="O124" s="514" t="s">
        <v>21</v>
      </c>
      <c r="P124" s="514" t="s">
        <v>36</v>
      </c>
      <c r="Q124" s="514" t="s">
        <v>75</v>
      </c>
      <c r="R124" s="514" t="s">
        <v>570</v>
      </c>
      <c r="S124" s="514" t="s">
        <v>98</v>
      </c>
      <c r="T124" s="515">
        <v>4</v>
      </c>
      <c r="U124" s="520" t="str">
        <f t="shared" si="56"/>
        <v>Evaluar la gestión y resultados de los procesos de calidad de la Dependencia y remitir informes trimestrales de los indicadores formulados y las acciones de mejoras</v>
      </c>
      <c r="V124" s="521">
        <f t="shared" si="57"/>
        <v>0</v>
      </c>
      <c r="W124" s="522" t="s">
        <v>117</v>
      </c>
      <c r="X124" s="547">
        <v>1</v>
      </c>
      <c r="Y124" s="522" t="s">
        <v>688</v>
      </c>
      <c r="Z124" s="518">
        <v>0</v>
      </c>
      <c r="AA124" s="525">
        <v>0</v>
      </c>
      <c r="AB124" s="527">
        <v>0</v>
      </c>
      <c r="AC124" s="523">
        <f t="shared" si="35"/>
        <v>0</v>
      </c>
      <c r="AD124" s="523" t="e">
        <f t="shared" si="36"/>
        <v>#DIV/0!</v>
      </c>
      <c r="AE124" s="523">
        <f t="shared" si="37"/>
        <v>0</v>
      </c>
      <c r="AF124" s="523" t="e">
        <f t="shared" si="38"/>
        <v>#DIV/0!</v>
      </c>
      <c r="AG124" s="523"/>
      <c r="AH124" s="547">
        <v>1</v>
      </c>
      <c r="AI124" s="522" t="s">
        <v>688</v>
      </c>
      <c r="AJ124" s="518">
        <v>0</v>
      </c>
      <c r="AK124" s="524"/>
      <c r="AL124" s="524"/>
      <c r="AM124" s="523">
        <f t="shared" si="39"/>
        <v>0</v>
      </c>
      <c r="AN124" s="523" t="e">
        <f t="shared" si="40"/>
        <v>#DIV/0!</v>
      </c>
      <c r="AO124" s="523">
        <f t="shared" si="41"/>
        <v>0</v>
      </c>
      <c r="AP124" s="523" t="e">
        <f t="shared" si="42"/>
        <v>#DIV/0!</v>
      </c>
      <c r="AQ124" s="523"/>
      <c r="AR124" s="547">
        <v>1</v>
      </c>
      <c r="AS124" s="522" t="s">
        <v>688</v>
      </c>
      <c r="AT124" s="518">
        <v>0</v>
      </c>
      <c r="AU124" s="524"/>
      <c r="AV124" s="524"/>
      <c r="AW124" s="523">
        <f t="shared" si="43"/>
        <v>0</v>
      </c>
      <c r="AX124" s="523" t="e">
        <f t="shared" si="44"/>
        <v>#DIV/0!</v>
      </c>
      <c r="AY124" s="523">
        <f t="shared" si="45"/>
        <v>0</v>
      </c>
      <c r="AZ124" s="523" t="e">
        <f t="shared" si="46"/>
        <v>#DIV/0!</v>
      </c>
      <c r="BA124" s="523"/>
      <c r="BB124" s="547">
        <v>1</v>
      </c>
      <c r="BC124" s="575" t="s">
        <v>688</v>
      </c>
      <c r="BD124" s="518">
        <v>0</v>
      </c>
      <c r="BE124" s="524"/>
      <c r="BF124" s="524"/>
      <c r="BG124" s="517">
        <f t="shared" si="58"/>
        <v>0</v>
      </c>
      <c r="BH124" s="517" t="e">
        <f t="shared" si="59"/>
        <v>#DIV/0!</v>
      </c>
      <c r="BI124" s="517">
        <f t="shared" si="60"/>
        <v>0</v>
      </c>
      <c r="BJ124" s="517" t="e">
        <f t="shared" si="61"/>
        <v>#DIV/0!</v>
      </c>
      <c r="BK124" s="517"/>
      <c r="BL124" s="580">
        <f t="shared" si="47"/>
        <v>0</v>
      </c>
      <c r="BM124" s="580" t="str">
        <f t="shared" si="48"/>
        <v>No Prog ni Ejec</v>
      </c>
      <c r="BN124" s="580">
        <f t="shared" si="49"/>
        <v>0</v>
      </c>
      <c r="BO124" s="580" t="str">
        <f t="shared" si="50"/>
        <v>No Prog ni Ejec</v>
      </c>
      <c r="BP124" s="580">
        <f t="shared" si="51"/>
        <v>0</v>
      </c>
      <c r="BQ124" s="580" t="str">
        <f t="shared" si="52"/>
        <v>No Prog ni Ejec</v>
      </c>
      <c r="BR124" s="580">
        <f t="shared" si="53"/>
        <v>0</v>
      </c>
      <c r="BS124" s="580" t="str">
        <f t="shared" si="54"/>
        <v>No Prog ni Ejec</v>
      </c>
      <c r="BT124" s="553">
        <f t="shared" si="55"/>
        <v>2.3333333333333335</v>
      </c>
      <c r="BU124" s="526" t="str">
        <f t="shared" si="62"/>
        <v>Evaluar la gestión y resultados de los procesos de calidad de la Dependencia y remitir informes trimestrales de los indicadores formulados y las acciones de mejoras</v>
      </c>
      <c r="BV124" s="527">
        <f t="shared" si="34"/>
        <v>0</v>
      </c>
      <c r="BW124" s="524"/>
      <c r="BX124" s="524"/>
      <c r="BY124" s="524"/>
      <c r="BZ124" s="524"/>
      <c r="CA124" s="524"/>
      <c r="CB124" s="524"/>
      <c r="CC124" s="524"/>
    </row>
    <row r="125" spans="1:81" s="457" customFormat="1" ht="51" x14ac:dyDescent="0.25">
      <c r="A125" s="513">
        <v>11900</v>
      </c>
      <c r="B125" s="514" t="s">
        <v>349</v>
      </c>
      <c r="C125" s="515" t="s">
        <v>357</v>
      </c>
      <c r="D125" s="514" t="s">
        <v>146</v>
      </c>
      <c r="E125" s="515" t="s">
        <v>358</v>
      </c>
      <c r="F125" s="514" t="s">
        <v>767</v>
      </c>
      <c r="G125" s="516" t="s">
        <v>123</v>
      </c>
      <c r="H125" s="517">
        <v>1</v>
      </c>
      <c r="I125" s="515" t="s">
        <v>359</v>
      </c>
      <c r="J125" s="514" t="s">
        <v>690</v>
      </c>
      <c r="K125" s="518">
        <v>254442984</v>
      </c>
      <c r="L125" s="519">
        <v>1</v>
      </c>
      <c r="M125" s="514" t="s">
        <v>46</v>
      </c>
      <c r="N125" s="514" t="s">
        <v>74</v>
      </c>
      <c r="O125" s="514" t="s">
        <v>21</v>
      </c>
      <c r="P125" s="514" t="s">
        <v>36</v>
      </c>
      <c r="Q125" s="514" t="s">
        <v>229</v>
      </c>
      <c r="R125" s="514" t="s">
        <v>360</v>
      </c>
      <c r="S125" s="514" t="s">
        <v>99</v>
      </c>
      <c r="T125" s="519">
        <v>1</v>
      </c>
      <c r="U125" s="520" t="str">
        <f t="shared" si="56"/>
        <v>Atender las solicitudes de informes derivadas de acciones constitucionales y tutelas</v>
      </c>
      <c r="V125" s="521">
        <f t="shared" si="57"/>
        <v>254442984</v>
      </c>
      <c r="W125" s="522" t="s">
        <v>114</v>
      </c>
      <c r="X125" s="517">
        <v>0.25</v>
      </c>
      <c r="Y125" s="522" t="s">
        <v>690</v>
      </c>
      <c r="Z125" s="518">
        <f>+X125*V125</f>
        <v>63610746</v>
      </c>
      <c r="AA125" s="606">
        <f>((9051/9075)*(25/100))</f>
        <v>0.24933884297520661</v>
      </c>
      <c r="AB125" s="527">
        <f>37149387+1084237.36-112417</f>
        <v>38121207.359999999</v>
      </c>
      <c r="AC125" s="523">
        <f t="shared" si="35"/>
        <v>0.99735537190082646</v>
      </c>
      <c r="AD125" s="523">
        <f t="shared" si="36"/>
        <v>0.59928879563839732</v>
      </c>
      <c r="AE125" s="523">
        <f t="shared" si="37"/>
        <v>0.24933884297520661</v>
      </c>
      <c r="AF125" s="523">
        <f t="shared" si="38"/>
        <v>0.14982219890959933</v>
      </c>
      <c r="AG125" s="523"/>
      <c r="AH125" s="517">
        <v>0.25</v>
      </c>
      <c r="AI125" s="522" t="s">
        <v>690</v>
      </c>
      <c r="AJ125" s="518">
        <v>63610746</v>
      </c>
      <c r="AK125" s="524"/>
      <c r="AL125" s="524"/>
      <c r="AM125" s="523">
        <f t="shared" si="39"/>
        <v>0</v>
      </c>
      <c r="AN125" s="523">
        <f t="shared" si="40"/>
        <v>0</v>
      </c>
      <c r="AO125" s="523">
        <f t="shared" si="41"/>
        <v>0.24933884297520661</v>
      </c>
      <c r="AP125" s="523">
        <f t="shared" si="42"/>
        <v>0.14982219890959933</v>
      </c>
      <c r="AQ125" s="523"/>
      <c r="AR125" s="517">
        <v>0.25</v>
      </c>
      <c r="AS125" s="522" t="s">
        <v>690</v>
      </c>
      <c r="AT125" s="518">
        <v>63610746</v>
      </c>
      <c r="AU125" s="524"/>
      <c r="AV125" s="524"/>
      <c r="AW125" s="523">
        <f t="shared" si="43"/>
        <v>0</v>
      </c>
      <c r="AX125" s="523">
        <f t="shared" si="44"/>
        <v>0</v>
      </c>
      <c r="AY125" s="523">
        <f t="shared" si="45"/>
        <v>0.24933884297520661</v>
      </c>
      <c r="AZ125" s="523">
        <f t="shared" si="46"/>
        <v>0.14982219890959933</v>
      </c>
      <c r="BA125" s="523"/>
      <c r="BB125" s="517">
        <v>0.25</v>
      </c>
      <c r="BC125" s="522" t="s">
        <v>690</v>
      </c>
      <c r="BD125" s="518">
        <v>63610746</v>
      </c>
      <c r="BE125" s="524"/>
      <c r="BF125" s="524"/>
      <c r="BG125" s="517">
        <f t="shared" si="58"/>
        <v>0</v>
      </c>
      <c r="BH125" s="517">
        <f t="shared" si="59"/>
        <v>0</v>
      </c>
      <c r="BI125" s="517">
        <f t="shared" si="60"/>
        <v>0.24933884297520661</v>
      </c>
      <c r="BJ125" s="517">
        <f t="shared" si="61"/>
        <v>0.14982219890959933</v>
      </c>
      <c r="BK125" s="517"/>
      <c r="BL125" s="580">
        <f t="shared" si="47"/>
        <v>0.99735537190082646</v>
      </c>
      <c r="BM125" s="580">
        <f t="shared" si="48"/>
        <v>0.59928879563839732</v>
      </c>
      <c r="BN125" s="580">
        <f t="shared" si="49"/>
        <v>0</v>
      </c>
      <c r="BO125" s="580">
        <f t="shared" si="50"/>
        <v>0</v>
      </c>
      <c r="BP125" s="580">
        <f t="shared" si="51"/>
        <v>0</v>
      </c>
      <c r="BQ125" s="580">
        <f t="shared" si="52"/>
        <v>0</v>
      </c>
      <c r="BR125" s="580">
        <f t="shared" si="53"/>
        <v>0</v>
      </c>
      <c r="BS125" s="580">
        <f t="shared" si="54"/>
        <v>0</v>
      </c>
      <c r="BT125" s="525">
        <f t="shared" si="55"/>
        <v>0.58333333333333337</v>
      </c>
      <c r="BU125" s="526" t="str">
        <f t="shared" si="62"/>
        <v>Atender las solicitudes de informes derivadas de acciones constitucionales y tutelas</v>
      </c>
      <c r="BV125" s="527">
        <f t="shared" si="34"/>
        <v>148425074</v>
      </c>
      <c r="BW125" s="524"/>
      <c r="BX125" s="524"/>
      <c r="BY125" s="524"/>
      <c r="BZ125" s="524"/>
      <c r="CA125" s="524"/>
      <c r="CB125" s="524"/>
      <c r="CC125" s="524"/>
    </row>
    <row r="126" spans="1:81" s="457" customFormat="1" ht="76.5" x14ac:dyDescent="0.25">
      <c r="A126" s="513">
        <v>11900</v>
      </c>
      <c r="B126" s="514" t="s">
        <v>349</v>
      </c>
      <c r="C126" s="515" t="s">
        <v>357</v>
      </c>
      <c r="D126" s="514" t="s">
        <v>146</v>
      </c>
      <c r="E126" s="515" t="s">
        <v>361</v>
      </c>
      <c r="F126" s="514" t="s">
        <v>436</v>
      </c>
      <c r="G126" s="516" t="s">
        <v>123</v>
      </c>
      <c r="H126" s="517">
        <v>1</v>
      </c>
      <c r="I126" s="515" t="s">
        <v>458</v>
      </c>
      <c r="J126" s="514" t="s">
        <v>362</v>
      </c>
      <c r="K126" s="669">
        <v>768132904</v>
      </c>
      <c r="L126" s="690">
        <v>1</v>
      </c>
      <c r="M126" s="514" t="s">
        <v>46</v>
      </c>
      <c r="N126" s="514" t="s">
        <v>74</v>
      </c>
      <c r="O126" s="514" t="s">
        <v>21</v>
      </c>
      <c r="P126" s="514" t="s">
        <v>36</v>
      </c>
      <c r="Q126" s="514" t="s">
        <v>229</v>
      </c>
      <c r="R126" s="514" t="s">
        <v>437</v>
      </c>
      <c r="S126" s="514" t="s">
        <v>99</v>
      </c>
      <c r="T126" s="519">
        <v>1</v>
      </c>
      <c r="U126" s="520" t="str">
        <f t="shared" si="56"/>
        <v>Ejercer la defensa extrajudicial y judicial en los asuntos y/o procesos judiciales en que la ADRES es parte o vinculado.</v>
      </c>
      <c r="V126" s="685">
        <f t="shared" si="57"/>
        <v>768132904</v>
      </c>
      <c r="W126" s="522" t="s">
        <v>114</v>
      </c>
      <c r="X126" s="517">
        <v>0.25</v>
      </c>
      <c r="Y126" s="522" t="s">
        <v>362</v>
      </c>
      <c r="Z126" s="518">
        <f>+V126*X126</f>
        <v>192033226</v>
      </c>
      <c r="AA126" s="525">
        <f>11/11*0.25</f>
        <v>0.25</v>
      </c>
      <c r="AB126" s="669">
        <f>73830629+3407605</f>
        <v>77238234</v>
      </c>
      <c r="AC126" s="523">
        <f t="shared" si="35"/>
        <v>1</v>
      </c>
      <c r="AD126" s="678">
        <f t="shared" si="36"/>
        <v>0.40221286497577247</v>
      </c>
      <c r="AE126" s="523">
        <f t="shared" si="37"/>
        <v>0.25</v>
      </c>
      <c r="AF126" s="678">
        <f t="shared" si="38"/>
        <v>0.10055321624394312</v>
      </c>
      <c r="AG126" s="528" t="s">
        <v>924</v>
      </c>
      <c r="AH126" s="517">
        <v>0.25</v>
      </c>
      <c r="AI126" s="522" t="s">
        <v>362</v>
      </c>
      <c r="AJ126" s="518">
        <v>192033226</v>
      </c>
      <c r="AK126" s="524"/>
      <c r="AL126" s="524"/>
      <c r="AM126" s="523">
        <f t="shared" si="39"/>
        <v>0</v>
      </c>
      <c r="AN126" s="523">
        <f t="shared" si="40"/>
        <v>0</v>
      </c>
      <c r="AO126" s="523">
        <f t="shared" si="41"/>
        <v>0.25</v>
      </c>
      <c r="AP126" s="523">
        <f t="shared" si="42"/>
        <v>0.10055321624394312</v>
      </c>
      <c r="AQ126" s="523"/>
      <c r="AR126" s="517">
        <v>0.25</v>
      </c>
      <c r="AS126" s="522" t="s">
        <v>362</v>
      </c>
      <c r="AT126" s="518">
        <v>192033226</v>
      </c>
      <c r="AU126" s="524"/>
      <c r="AV126" s="524"/>
      <c r="AW126" s="523">
        <f t="shared" si="43"/>
        <v>0</v>
      </c>
      <c r="AX126" s="523">
        <f t="shared" si="44"/>
        <v>0</v>
      </c>
      <c r="AY126" s="523">
        <f t="shared" si="45"/>
        <v>0.25</v>
      </c>
      <c r="AZ126" s="523">
        <f t="shared" si="46"/>
        <v>0.10055321624394312</v>
      </c>
      <c r="BA126" s="523"/>
      <c r="BB126" s="517">
        <v>0.25</v>
      </c>
      <c r="BC126" s="522" t="s">
        <v>362</v>
      </c>
      <c r="BD126" s="518">
        <v>192033226</v>
      </c>
      <c r="BE126" s="524"/>
      <c r="BF126" s="524"/>
      <c r="BG126" s="517">
        <f t="shared" si="58"/>
        <v>0</v>
      </c>
      <c r="BH126" s="517">
        <f t="shared" si="59"/>
        <v>0</v>
      </c>
      <c r="BI126" s="517">
        <f t="shared" si="60"/>
        <v>0.25</v>
      </c>
      <c r="BJ126" s="517">
        <f t="shared" si="61"/>
        <v>0.10055321624394312</v>
      </c>
      <c r="BK126" s="517"/>
      <c r="BL126" s="580">
        <f t="shared" si="47"/>
        <v>1</v>
      </c>
      <c r="BM126" s="666">
        <f t="shared" si="48"/>
        <v>0.40221286497577247</v>
      </c>
      <c r="BN126" s="580">
        <f t="shared" si="49"/>
        <v>0</v>
      </c>
      <c r="BO126" s="666">
        <f t="shared" si="50"/>
        <v>0</v>
      </c>
      <c r="BP126" s="580">
        <f t="shared" si="51"/>
        <v>0</v>
      </c>
      <c r="BQ126" s="666">
        <f t="shared" si="52"/>
        <v>0</v>
      </c>
      <c r="BR126" s="580">
        <f t="shared" si="53"/>
        <v>0</v>
      </c>
      <c r="BS126" s="666">
        <f t="shared" si="54"/>
        <v>0</v>
      </c>
      <c r="BT126" s="525">
        <f t="shared" si="55"/>
        <v>0.58333333333333337</v>
      </c>
      <c r="BU126" s="526" t="str">
        <f t="shared" si="62"/>
        <v>Ejercer la defensa extrajudicial y judicial en los asuntos y/o procesos judiciales en que la ADRES es parte o vinculado.</v>
      </c>
      <c r="BV126" s="527">
        <f t="shared" si="34"/>
        <v>448077527.33333331</v>
      </c>
      <c r="BW126" s="524"/>
      <c r="BX126" s="524"/>
      <c r="BY126" s="524"/>
      <c r="BZ126" s="524"/>
      <c r="CA126" s="524"/>
      <c r="CB126" s="524"/>
      <c r="CC126" s="524"/>
    </row>
    <row r="127" spans="1:81" s="457" customFormat="1" ht="63.75" x14ac:dyDescent="0.25">
      <c r="A127" s="513">
        <v>11900</v>
      </c>
      <c r="B127" s="514" t="s">
        <v>349</v>
      </c>
      <c r="C127" s="515" t="s">
        <v>357</v>
      </c>
      <c r="D127" s="514" t="s">
        <v>146</v>
      </c>
      <c r="E127" s="515" t="s">
        <v>371</v>
      </c>
      <c r="F127" s="514" t="s">
        <v>366</v>
      </c>
      <c r="G127" s="516" t="s">
        <v>123</v>
      </c>
      <c r="H127" s="517">
        <v>1</v>
      </c>
      <c r="I127" s="515" t="s">
        <v>547</v>
      </c>
      <c r="J127" s="514" t="s">
        <v>362</v>
      </c>
      <c r="K127" s="681"/>
      <c r="L127" s="691"/>
      <c r="M127" s="514" t="s">
        <v>46</v>
      </c>
      <c r="N127" s="514" t="s">
        <v>74</v>
      </c>
      <c r="O127" s="514" t="s">
        <v>21</v>
      </c>
      <c r="P127" s="514" t="s">
        <v>36</v>
      </c>
      <c r="Q127" s="514" t="s">
        <v>229</v>
      </c>
      <c r="R127" s="514" t="s">
        <v>370</v>
      </c>
      <c r="S127" s="514" t="s">
        <v>99</v>
      </c>
      <c r="T127" s="519">
        <v>1</v>
      </c>
      <c r="U127" s="520" t="str">
        <f t="shared" si="56"/>
        <v>Ejercer la defensa extrajudicial y judicial en los asuntos y/o procesos judiciales en que la ADRES es parte o vinculado.</v>
      </c>
      <c r="V127" s="686"/>
      <c r="W127" s="522" t="s">
        <v>114</v>
      </c>
      <c r="X127" s="517">
        <v>0.25</v>
      </c>
      <c r="Y127" s="522" t="s">
        <v>362</v>
      </c>
      <c r="Z127" s="518">
        <v>0</v>
      </c>
      <c r="AA127" s="525">
        <f>5/21*0.25</f>
        <v>5.9523809523809521E-2</v>
      </c>
      <c r="AB127" s="681"/>
      <c r="AC127" s="523">
        <f t="shared" si="35"/>
        <v>0.23809523809523808</v>
      </c>
      <c r="AD127" s="679"/>
      <c r="AE127" s="523">
        <f t="shared" si="37"/>
        <v>5.9523809523809521E-2</v>
      </c>
      <c r="AF127" s="679"/>
      <c r="AG127" s="528"/>
      <c r="AH127" s="517">
        <v>0.25</v>
      </c>
      <c r="AI127" s="522" t="s">
        <v>362</v>
      </c>
      <c r="AJ127" s="518">
        <v>0</v>
      </c>
      <c r="AK127" s="524"/>
      <c r="AL127" s="524"/>
      <c r="AM127" s="523">
        <f t="shared" si="39"/>
        <v>0</v>
      </c>
      <c r="AN127" s="523" t="e">
        <f t="shared" si="40"/>
        <v>#DIV/0!</v>
      </c>
      <c r="AO127" s="523">
        <f t="shared" si="41"/>
        <v>5.9523809523809521E-2</v>
      </c>
      <c r="AP127" s="523" t="e">
        <f t="shared" si="42"/>
        <v>#DIV/0!</v>
      </c>
      <c r="AQ127" s="523"/>
      <c r="AR127" s="517">
        <v>0.25</v>
      </c>
      <c r="AS127" s="522" t="s">
        <v>362</v>
      </c>
      <c r="AT127" s="518">
        <v>0</v>
      </c>
      <c r="AU127" s="524"/>
      <c r="AV127" s="524"/>
      <c r="AW127" s="523">
        <f t="shared" si="43"/>
        <v>0</v>
      </c>
      <c r="AX127" s="523" t="e">
        <f t="shared" si="44"/>
        <v>#DIV/0!</v>
      </c>
      <c r="AY127" s="523">
        <f t="shared" si="45"/>
        <v>5.9523809523809521E-2</v>
      </c>
      <c r="AZ127" s="523" t="e">
        <f t="shared" si="46"/>
        <v>#DIV/0!</v>
      </c>
      <c r="BA127" s="523"/>
      <c r="BB127" s="517">
        <v>0.25</v>
      </c>
      <c r="BC127" s="522" t="s">
        <v>362</v>
      </c>
      <c r="BD127" s="518">
        <v>0</v>
      </c>
      <c r="BE127" s="524"/>
      <c r="BF127" s="524"/>
      <c r="BG127" s="517">
        <f t="shared" si="58"/>
        <v>0</v>
      </c>
      <c r="BH127" s="517" t="e">
        <f t="shared" si="59"/>
        <v>#DIV/0!</v>
      </c>
      <c r="BI127" s="517">
        <f t="shared" si="60"/>
        <v>5.9523809523809521E-2</v>
      </c>
      <c r="BJ127" s="517" t="e">
        <f t="shared" si="61"/>
        <v>#DIV/0!</v>
      </c>
      <c r="BK127" s="517"/>
      <c r="BL127" s="580">
        <f t="shared" si="47"/>
        <v>0.23809523809523808</v>
      </c>
      <c r="BM127" s="667"/>
      <c r="BN127" s="580">
        <f t="shared" si="49"/>
        <v>0</v>
      </c>
      <c r="BO127" s="667"/>
      <c r="BP127" s="580">
        <f t="shared" si="51"/>
        <v>0</v>
      </c>
      <c r="BQ127" s="667"/>
      <c r="BR127" s="580">
        <f t="shared" si="53"/>
        <v>0</v>
      </c>
      <c r="BS127" s="667"/>
      <c r="BT127" s="525">
        <f t="shared" si="55"/>
        <v>0.58333333333333337</v>
      </c>
      <c r="BU127" s="526" t="str">
        <f t="shared" si="62"/>
        <v>Ejercer la defensa extrajudicial y judicial en los asuntos y/o procesos judiciales en que la ADRES es parte o vinculado.</v>
      </c>
      <c r="BV127" s="527">
        <f t="shared" si="34"/>
        <v>0</v>
      </c>
      <c r="BW127" s="524"/>
      <c r="BX127" s="524"/>
      <c r="BY127" s="524"/>
      <c r="BZ127" s="524"/>
      <c r="CA127" s="524"/>
      <c r="CB127" s="524"/>
      <c r="CC127" s="524"/>
    </row>
    <row r="128" spans="1:81" s="457" customFormat="1" ht="51" x14ac:dyDescent="0.25">
      <c r="A128" s="513">
        <v>11900</v>
      </c>
      <c r="B128" s="514" t="s">
        <v>349</v>
      </c>
      <c r="C128" s="515" t="s">
        <v>357</v>
      </c>
      <c r="D128" s="514" t="s">
        <v>146</v>
      </c>
      <c r="E128" s="515" t="s">
        <v>372</v>
      </c>
      <c r="F128" s="514" t="s">
        <v>367</v>
      </c>
      <c r="G128" s="516" t="s">
        <v>123</v>
      </c>
      <c r="H128" s="517">
        <v>1</v>
      </c>
      <c r="I128" s="515" t="s">
        <v>459</v>
      </c>
      <c r="J128" s="514" t="s">
        <v>363</v>
      </c>
      <c r="K128" s="681"/>
      <c r="L128" s="691"/>
      <c r="M128" s="514" t="s">
        <v>46</v>
      </c>
      <c r="N128" s="514" t="s">
        <v>74</v>
      </c>
      <c r="O128" s="514" t="s">
        <v>21</v>
      </c>
      <c r="P128" s="514" t="s">
        <v>36</v>
      </c>
      <c r="Q128" s="514" t="s">
        <v>229</v>
      </c>
      <c r="R128" s="514" t="s">
        <v>438</v>
      </c>
      <c r="S128" s="514" t="s">
        <v>99</v>
      </c>
      <c r="T128" s="519">
        <v>1</v>
      </c>
      <c r="U128" s="520" t="str">
        <f t="shared" si="56"/>
        <v>Atender las solicitudes de pruebas de los despachos judiciales o terceros intervinientes en el proceso judicial</v>
      </c>
      <c r="V128" s="686"/>
      <c r="W128" s="522" t="s">
        <v>114</v>
      </c>
      <c r="X128" s="517">
        <v>0.25</v>
      </c>
      <c r="Y128" s="522" t="s">
        <v>363</v>
      </c>
      <c r="Z128" s="518">
        <v>0</v>
      </c>
      <c r="AA128" s="525">
        <f>147/148*0.25</f>
        <v>0.2483108108108108</v>
      </c>
      <c r="AB128" s="681"/>
      <c r="AC128" s="523">
        <f t="shared" si="35"/>
        <v>0.9932432432432432</v>
      </c>
      <c r="AD128" s="679"/>
      <c r="AE128" s="523">
        <f t="shared" si="37"/>
        <v>0.2483108108108108</v>
      </c>
      <c r="AF128" s="679"/>
      <c r="AG128" s="528" t="s">
        <v>925</v>
      </c>
      <c r="AH128" s="517">
        <v>0.25</v>
      </c>
      <c r="AI128" s="522" t="s">
        <v>363</v>
      </c>
      <c r="AJ128" s="518">
        <v>0</v>
      </c>
      <c r="AK128" s="524"/>
      <c r="AL128" s="524"/>
      <c r="AM128" s="523">
        <f t="shared" si="39"/>
        <v>0</v>
      </c>
      <c r="AN128" s="523" t="e">
        <f t="shared" si="40"/>
        <v>#DIV/0!</v>
      </c>
      <c r="AO128" s="523">
        <f t="shared" si="41"/>
        <v>0.2483108108108108</v>
      </c>
      <c r="AP128" s="523" t="e">
        <f t="shared" si="42"/>
        <v>#DIV/0!</v>
      </c>
      <c r="AQ128" s="523"/>
      <c r="AR128" s="517">
        <v>0.25</v>
      </c>
      <c r="AS128" s="522" t="s">
        <v>363</v>
      </c>
      <c r="AT128" s="518">
        <v>0</v>
      </c>
      <c r="AU128" s="524"/>
      <c r="AV128" s="524"/>
      <c r="AW128" s="523">
        <f t="shared" si="43"/>
        <v>0</v>
      </c>
      <c r="AX128" s="523" t="e">
        <f t="shared" si="44"/>
        <v>#DIV/0!</v>
      </c>
      <c r="AY128" s="523">
        <f t="shared" si="45"/>
        <v>0.2483108108108108</v>
      </c>
      <c r="AZ128" s="523" t="e">
        <f t="shared" si="46"/>
        <v>#DIV/0!</v>
      </c>
      <c r="BA128" s="523"/>
      <c r="BB128" s="517">
        <v>0.25</v>
      </c>
      <c r="BC128" s="522" t="s">
        <v>363</v>
      </c>
      <c r="BD128" s="518">
        <v>0</v>
      </c>
      <c r="BE128" s="524"/>
      <c r="BF128" s="524"/>
      <c r="BG128" s="517">
        <f t="shared" si="58"/>
        <v>0</v>
      </c>
      <c r="BH128" s="517" t="e">
        <f t="shared" si="59"/>
        <v>#DIV/0!</v>
      </c>
      <c r="BI128" s="517">
        <f t="shared" si="60"/>
        <v>0.2483108108108108</v>
      </c>
      <c r="BJ128" s="517" t="e">
        <f t="shared" si="61"/>
        <v>#DIV/0!</v>
      </c>
      <c r="BK128" s="517"/>
      <c r="BL128" s="580">
        <f t="shared" si="47"/>
        <v>0.9932432432432432</v>
      </c>
      <c r="BM128" s="667"/>
      <c r="BN128" s="580">
        <f t="shared" si="49"/>
        <v>0</v>
      </c>
      <c r="BO128" s="667"/>
      <c r="BP128" s="580">
        <f t="shared" si="51"/>
        <v>0</v>
      </c>
      <c r="BQ128" s="667"/>
      <c r="BR128" s="580">
        <f t="shared" si="53"/>
        <v>0</v>
      </c>
      <c r="BS128" s="667"/>
      <c r="BT128" s="525">
        <f t="shared" si="55"/>
        <v>0.58333333333333337</v>
      </c>
      <c r="BU128" s="526" t="str">
        <f t="shared" si="62"/>
        <v>Atender las solicitudes de pruebas de los despachos judiciales o terceros intervinientes en el proceso judicial</v>
      </c>
      <c r="BV128" s="527">
        <f t="shared" si="34"/>
        <v>0</v>
      </c>
      <c r="BW128" s="524"/>
      <c r="BX128" s="524"/>
      <c r="BY128" s="524"/>
      <c r="BZ128" s="524"/>
      <c r="CA128" s="524"/>
      <c r="CB128" s="524"/>
      <c r="CC128" s="524"/>
    </row>
    <row r="129" spans="1:81" s="457" customFormat="1" ht="89.25" x14ac:dyDescent="0.25">
      <c r="A129" s="513">
        <v>11900</v>
      </c>
      <c r="B129" s="514" t="s">
        <v>349</v>
      </c>
      <c r="C129" s="515" t="s">
        <v>357</v>
      </c>
      <c r="D129" s="514" t="s">
        <v>146</v>
      </c>
      <c r="E129" s="515" t="s">
        <v>439</v>
      </c>
      <c r="F129" s="514" t="s">
        <v>715</v>
      </c>
      <c r="G129" s="516" t="s">
        <v>123</v>
      </c>
      <c r="H129" s="517">
        <v>1</v>
      </c>
      <c r="I129" s="515" t="s">
        <v>462</v>
      </c>
      <c r="J129" s="514" t="s">
        <v>691</v>
      </c>
      <c r="K129" s="681"/>
      <c r="L129" s="691"/>
      <c r="M129" s="514" t="s">
        <v>46</v>
      </c>
      <c r="N129" s="514" t="s">
        <v>74</v>
      </c>
      <c r="O129" s="514" t="s">
        <v>21</v>
      </c>
      <c r="P129" s="514" t="s">
        <v>36</v>
      </c>
      <c r="Q129" s="514" t="s">
        <v>229</v>
      </c>
      <c r="R129" s="514" t="s">
        <v>442</v>
      </c>
      <c r="S129" s="514" t="s">
        <v>99</v>
      </c>
      <c r="T129" s="519">
        <v>1</v>
      </c>
      <c r="U129" s="520" t="str">
        <f t="shared" si="56"/>
        <v>Fichas técnicas de conciliaciones prejudiciales presentadas a consideración del Comité de Conciliación</v>
      </c>
      <c r="V129" s="686"/>
      <c r="W129" s="522" t="s">
        <v>114</v>
      </c>
      <c r="X129" s="517">
        <v>0.25</v>
      </c>
      <c r="Y129" s="522" t="s">
        <v>691</v>
      </c>
      <c r="Z129" s="518">
        <v>0</v>
      </c>
      <c r="AA129" s="525">
        <f>(3/29)*25%</f>
        <v>2.5862068965517241E-2</v>
      </c>
      <c r="AB129" s="681"/>
      <c r="AC129" s="523">
        <f t="shared" si="35"/>
        <v>0.10344827586206896</v>
      </c>
      <c r="AD129" s="679"/>
      <c r="AE129" s="523">
        <f t="shared" si="37"/>
        <v>2.5862068965517241E-2</v>
      </c>
      <c r="AF129" s="679"/>
      <c r="AG129" s="528"/>
      <c r="AH129" s="517">
        <v>0.25</v>
      </c>
      <c r="AI129" s="522" t="s">
        <v>691</v>
      </c>
      <c r="AJ129" s="518">
        <v>0</v>
      </c>
      <c r="AK129" s="524"/>
      <c r="AL129" s="524"/>
      <c r="AM129" s="523">
        <f t="shared" si="39"/>
        <v>0</v>
      </c>
      <c r="AN129" s="523" t="e">
        <f t="shared" si="40"/>
        <v>#DIV/0!</v>
      </c>
      <c r="AO129" s="523">
        <f t="shared" si="41"/>
        <v>2.5862068965517241E-2</v>
      </c>
      <c r="AP129" s="523" t="e">
        <f t="shared" si="42"/>
        <v>#DIV/0!</v>
      </c>
      <c r="AQ129" s="523"/>
      <c r="AR129" s="517">
        <v>0.25</v>
      </c>
      <c r="AS129" s="522" t="s">
        <v>691</v>
      </c>
      <c r="AT129" s="518">
        <v>0</v>
      </c>
      <c r="AU129" s="524"/>
      <c r="AV129" s="524"/>
      <c r="AW129" s="523">
        <f t="shared" si="43"/>
        <v>0</v>
      </c>
      <c r="AX129" s="523" t="e">
        <f t="shared" si="44"/>
        <v>#DIV/0!</v>
      </c>
      <c r="AY129" s="523">
        <f t="shared" si="45"/>
        <v>2.5862068965517241E-2</v>
      </c>
      <c r="AZ129" s="523" t="e">
        <f t="shared" si="46"/>
        <v>#DIV/0!</v>
      </c>
      <c r="BA129" s="523"/>
      <c r="BB129" s="517">
        <v>0.25</v>
      </c>
      <c r="BC129" s="522" t="s">
        <v>691</v>
      </c>
      <c r="BD129" s="518">
        <v>0</v>
      </c>
      <c r="BE129" s="524"/>
      <c r="BF129" s="524"/>
      <c r="BG129" s="517">
        <f t="shared" si="58"/>
        <v>0</v>
      </c>
      <c r="BH129" s="517" t="e">
        <f t="shared" si="59"/>
        <v>#DIV/0!</v>
      </c>
      <c r="BI129" s="517">
        <f t="shared" si="60"/>
        <v>2.5862068965517241E-2</v>
      </c>
      <c r="BJ129" s="517" t="e">
        <f t="shared" si="61"/>
        <v>#DIV/0!</v>
      </c>
      <c r="BK129" s="517"/>
      <c r="BL129" s="580">
        <f t="shared" si="47"/>
        <v>0.10344827586206896</v>
      </c>
      <c r="BM129" s="667"/>
      <c r="BN129" s="580">
        <f t="shared" si="49"/>
        <v>0</v>
      </c>
      <c r="BO129" s="667"/>
      <c r="BP129" s="580">
        <f t="shared" si="51"/>
        <v>0</v>
      </c>
      <c r="BQ129" s="667"/>
      <c r="BR129" s="580">
        <f t="shared" si="53"/>
        <v>0</v>
      </c>
      <c r="BS129" s="667"/>
      <c r="BT129" s="525">
        <f t="shared" si="55"/>
        <v>0.58333333333333337</v>
      </c>
      <c r="BU129" s="526" t="str">
        <f t="shared" si="62"/>
        <v>Fichas técnicas de conciliaciones prejudiciales presentadas a consideración del Comité de Conciliación</v>
      </c>
      <c r="BV129" s="527">
        <f t="shared" si="34"/>
        <v>0</v>
      </c>
      <c r="BW129" s="524"/>
      <c r="BX129" s="524"/>
      <c r="BY129" s="524"/>
      <c r="BZ129" s="524"/>
      <c r="CA129" s="524"/>
      <c r="CB129" s="524"/>
      <c r="CC129" s="524"/>
    </row>
    <row r="130" spans="1:81" s="457" customFormat="1" ht="89.25" x14ac:dyDescent="0.25">
      <c r="A130" s="513">
        <v>11900</v>
      </c>
      <c r="B130" s="514" t="s">
        <v>349</v>
      </c>
      <c r="C130" s="515" t="s">
        <v>357</v>
      </c>
      <c r="D130" s="514" t="s">
        <v>146</v>
      </c>
      <c r="E130" s="515" t="s">
        <v>439</v>
      </c>
      <c r="F130" s="514" t="s">
        <v>715</v>
      </c>
      <c r="G130" s="516" t="s">
        <v>123</v>
      </c>
      <c r="H130" s="517">
        <v>1</v>
      </c>
      <c r="I130" s="515" t="s">
        <v>718</v>
      </c>
      <c r="J130" s="514" t="s">
        <v>444</v>
      </c>
      <c r="K130" s="681"/>
      <c r="L130" s="691"/>
      <c r="M130" s="514" t="s">
        <v>46</v>
      </c>
      <c r="N130" s="514" t="s">
        <v>74</v>
      </c>
      <c r="O130" s="514" t="s">
        <v>21</v>
      </c>
      <c r="P130" s="514" t="s">
        <v>36</v>
      </c>
      <c r="Q130" s="514" t="s">
        <v>229</v>
      </c>
      <c r="R130" s="514" t="s">
        <v>694</v>
      </c>
      <c r="S130" s="514" t="s">
        <v>99</v>
      </c>
      <c r="T130" s="519">
        <v>1</v>
      </c>
      <c r="U130" s="520" t="str">
        <f t="shared" si="56"/>
        <v>Presentación de fichas técnicas de demandas ordinarias laborales  presentadas al Comité de Conciliación</v>
      </c>
      <c r="V130" s="687"/>
      <c r="W130" s="522" t="s">
        <v>114</v>
      </c>
      <c r="X130" s="517">
        <v>0.25</v>
      </c>
      <c r="Y130" s="522" t="s">
        <v>444</v>
      </c>
      <c r="Z130" s="518">
        <v>0</v>
      </c>
      <c r="AA130" s="524">
        <f>0/11</f>
        <v>0</v>
      </c>
      <c r="AB130" s="681"/>
      <c r="AC130" s="523">
        <f t="shared" si="35"/>
        <v>0</v>
      </c>
      <c r="AD130" s="679"/>
      <c r="AE130" s="523">
        <f t="shared" si="37"/>
        <v>0</v>
      </c>
      <c r="AF130" s="680"/>
      <c r="AG130" s="528"/>
      <c r="AH130" s="517">
        <v>0.25</v>
      </c>
      <c r="AI130" s="522" t="s">
        <v>444</v>
      </c>
      <c r="AJ130" s="518">
        <v>0</v>
      </c>
      <c r="AK130" s="524"/>
      <c r="AL130" s="524"/>
      <c r="AM130" s="523">
        <f t="shared" si="39"/>
        <v>0</v>
      </c>
      <c r="AN130" s="523" t="e">
        <f t="shared" si="40"/>
        <v>#DIV/0!</v>
      </c>
      <c r="AO130" s="523">
        <f t="shared" si="41"/>
        <v>0</v>
      </c>
      <c r="AP130" s="523" t="e">
        <f t="shared" si="42"/>
        <v>#DIV/0!</v>
      </c>
      <c r="AQ130" s="523"/>
      <c r="AR130" s="517">
        <v>0.25</v>
      </c>
      <c r="AS130" s="522" t="s">
        <v>444</v>
      </c>
      <c r="AT130" s="518">
        <v>0</v>
      </c>
      <c r="AU130" s="524"/>
      <c r="AV130" s="524"/>
      <c r="AW130" s="523">
        <f t="shared" si="43"/>
        <v>0</v>
      </c>
      <c r="AX130" s="523" t="e">
        <f t="shared" si="44"/>
        <v>#DIV/0!</v>
      </c>
      <c r="AY130" s="523">
        <f t="shared" si="45"/>
        <v>0</v>
      </c>
      <c r="AZ130" s="523" t="e">
        <f t="shared" si="46"/>
        <v>#DIV/0!</v>
      </c>
      <c r="BA130" s="523"/>
      <c r="BB130" s="517">
        <v>0.25</v>
      </c>
      <c r="BC130" s="522" t="s">
        <v>444</v>
      </c>
      <c r="BD130" s="518">
        <v>0</v>
      </c>
      <c r="BE130" s="524"/>
      <c r="BF130" s="524"/>
      <c r="BG130" s="517">
        <f t="shared" si="58"/>
        <v>0</v>
      </c>
      <c r="BH130" s="517" t="e">
        <f t="shared" si="59"/>
        <v>#DIV/0!</v>
      </c>
      <c r="BI130" s="517">
        <f t="shared" si="60"/>
        <v>0</v>
      </c>
      <c r="BJ130" s="517" t="e">
        <f t="shared" si="61"/>
        <v>#DIV/0!</v>
      </c>
      <c r="BK130" s="517"/>
      <c r="BL130" s="580">
        <f t="shared" si="47"/>
        <v>0</v>
      </c>
      <c r="BM130" s="668"/>
      <c r="BN130" s="580">
        <f t="shared" si="49"/>
        <v>0</v>
      </c>
      <c r="BO130" s="667"/>
      <c r="BP130" s="580">
        <f t="shared" si="51"/>
        <v>0</v>
      </c>
      <c r="BQ130" s="667"/>
      <c r="BR130" s="580">
        <f t="shared" si="53"/>
        <v>0</v>
      </c>
      <c r="BS130" s="667"/>
      <c r="BT130" s="525">
        <f t="shared" si="55"/>
        <v>0.58333333333333337</v>
      </c>
      <c r="BU130" s="526" t="str">
        <f t="shared" si="62"/>
        <v>Presentación de fichas técnicas de demandas ordinarias laborales  presentadas al Comité de Conciliación</v>
      </c>
      <c r="BV130" s="527">
        <f t="shared" si="34"/>
        <v>0</v>
      </c>
      <c r="BW130" s="524"/>
      <c r="BX130" s="524"/>
      <c r="BY130" s="524"/>
      <c r="BZ130" s="524"/>
      <c r="CA130" s="524"/>
      <c r="CB130" s="524"/>
      <c r="CC130" s="524"/>
    </row>
    <row r="131" spans="1:81" s="457" customFormat="1" ht="51" x14ac:dyDescent="0.25">
      <c r="A131" s="513">
        <v>11900</v>
      </c>
      <c r="B131" s="514" t="s">
        <v>349</v>
      </c>
      <c r="C131" s="515" t="s">
        <v>357</v>
      </c>
      <c r="D131" s="514" t="s">
        <v>146</v>
      </c>
      <c r="E131" s="515" t="s">
        <v>439</v>
      </c>
      <c r="F131" s="514" t="s">
        <v>962</v>
      </c>
      <c r="G131" s="516" t="s">
        <v>124</v>
      </c>
      <c r="H131" s="547">
        <v>24</v>
      </c>
      <c r="I131" s="515" t="s">
        <v>942</v>
      </c>
      <c r="J131" s="522" t="s">
        <v>961</v>
      </c>
      <c r="K131" s="576">
        <v>53164884</v>
      </c>
      <c r="L131" s="577">
        <v>1</v>
      </c>
      <c r="M131" s="514" t="s">
        <v>46</v>
      </c>
      <c r="N131" s="514" t="s">
        <v>74</v>
      </c>
      <c r="O131" s="514" t="s">
        <v>21</v>
      </c>
      <c r="P131" s="514" t="s">
        <v>36</v>
      </c>
      <c r="Q131" s="514" t="s">
        <v>229</v>
      </c>
      <c r="R131" s="514" t="s">
        <v>959</v>
      </c>
      <c r="S131" s="514" t="s">
        <v>99</v>
      </c>
      <c r="T131" s="548">
        <v>24</v>
      </c>
      <c r="U131" s="520" t="str">
        <f>+J131</f>
        <v>Realizar el Comité de Conciliación</v>
      </c>
      <c r="V131" s="521">
        <f>+K131</f>
        <v>53164884</v>
      </c>
      <c r="W131" s="522" t="s">
        <v>114</v>
      </c>
      <c r="X131" s="547">
        <v>6</v>
      </c>
      <c r="Y131" s="522" t="s">
        <v>941</v>
      </c>
      <c r="Z131" s="518">
        <f>+V131*25%</f>
        <v>13291221</v>
      </c>
      <c r="AA131" s="524">
        <v>3</v>
      </c>
      <c r="AB131" s="576">
        <v>5464169</v>
      </c>
      <c r="AC131" s="523">
        <f>+(AA131/X131)</f>
        <v>0.5</v>
      </c>
      <c r="AD131" s="523">
        <f>+(AB131/Z131)</f>
        <v>0.41111113869824301</v>
      </c>
      <c r="AE131" s="523">
        <f t="shared" si="37"/>
        <v>0.125</v>
      </c>
      <c r="AF131" s="523">
        <f t="shared" si="38"/>
        <v>0.10277778467456075</v>
      </c>
      <c r="AG131" s="528"/>
      <c r="AH131" s="547">
        <v>6</v>
      </c>
      <c r="AI131" s="522" t="str">
        <f>+Y131</f>
        <v>Convocar a Comité de Conciliación</v>
      </c>
      <c r="AJ131" s="518">
        <v>13291221</v>
      </c>
      <c r="AK131" s="524"/>
      <c r="AL131" s="524"/>
      <c r="AM131" s="523">
        <f t="shared" ref="AM131" si="71">+(AK131/AH131)</f>
        <v>0</v>
      </c>
      <c r="AN131" s="523">
        <f t="shared" ref="AN131" si="72">+(AL131/AJ131)</f>
        <v>0</v>
      </c>
      <c r="AO131" s="523">
        <f t="shared" ref="AO131" si="73">+(AK131+AA131)/T131</f>
        <v>0.125</v>
      </c>
      <c r="AP131" s="523">
        <f t="shared" ref="AP131" si="74">+(AL131+AB131)/V131</f>
        <v>0.10277778467456075</v>
      </c>
      <c r="AQ131" s="523"/>
      <c r="AR131" s="547">
        <v>6</v>
      </c>
      <c r="AS131" s="529" t="str">
        <f>+U131</f>
        <v>Realizar el Comité de Conciliación</v>
      </c>
      <c r="AT131" s="518">
        <v>13291221</v>
      </c>
      <c r="AU131" s="524"/>
      <c r="AV131" s="524"/>
      <c r="AW131" s="523">
        <f t="shared" ref="AW131" si="75">+(AU131/AR131)</f>
        <v>0</v>
      </c>
      <c r="AX131" s="523">
        <f t="shared" ref="AX131" si="76">+(AV131/AT131)</f>
        <v>0</v>
      </c>
      <c r="AY131" s="523">
        <f t="shared" ref="AY131" si="77">+(AK131+AA131+AU131)/T131</f>
        <v>0.125</v>
      </c>
      <c r="AZ131" s="523">
        <f t="shared" ref="AZ131" si="78">+(AL131+AB131+AV131)/V131</f>
        <v>0.10277778467456075</v>
      </c>
      <c r="BA131" s="523"/>
      <c r="BB131" s="547">
        <v>6</v>
      </c>
      <c r="BC131" s="529" t="str">
        <f>+U131</f>
        <v>Realizar el Comité de Conciliación</v>
      </c>
      <c r="BD131" s="518">
        <v>13291221</v>
      </c>
      <c r="BE131" s="524"/>
      <c r="BF131" s="524"/>
      <c r="BG131" s="517">
        <f t="shared" ref="BG131" si="79">+(BE131/BB131)</f>
        <v>0</v>
      </c>
      <c r="BH131" s="517">
        <f t="shared" ref="BH131" si="80">+(BF131/BD131)</f>
        <v>0</v>
      </c>
      <c r="BI131" s="517">
        <f t="shared" ref="BI131" si="81">+(AK131+AA131+AU131+BE131)/T131</f>
        <v>0.125</v>
      </c>
      <c r="BJ131" s="517">
        <f t="shared" ref="BJ131" si="82">+(AL131+AB131+AV131+BF131)/V131</f>
        <v>0.10277778467456075</v>
      </c>
      <c r="BK131" s="517"/>
      <c r="BL131" s="580">
        <f t="shared" si="47"/>
        <v>0.5</v>
      </c>
      <c r="BM131" s="580">
        <f t="shared" si="48"/>
        <v>0.41111113869824301</v>
      </c>
      <c r="BN131" s="580">
        <f t="shared" si="49"/>
        <v>0</v>
      </c>
      <c r="BO131" s="580">
        <f t="shared" si="50"/>
        <v>0</v>
      </c>
      <c r="BP131" s="580">
        <f t="shared" si="51"/>
        <v>0</v>
      </c>
      <c r="BQ131" s="580">
        <f t="shared" si="52"/>
        <v>0</v>
      </c>
      <c r="BR131" s="580">
        <f t="shared" si="53"/>
        <v>0</v>
      </c>
      <c r="BS131" s="580">
        <f t="shared" si="54"/>
        <v>0</v>
      </c>
      <c r="BT131" s="553">
        <f>+(X131+AH131+(AR131/3))</f>
        <v>14</v>
      </c>
      <c r="BU131" s="526" t="str">
        <f>+U131</f>
        <v>Realizar el Comité de Conciliación</v>
      </c>
      <c r="BV131" s="527">
        <f t="shared" si="34"/>
        <v>31012849</v>
      </c>
      <c r="BW131" s="524"/>
      <c r="BX131" s="524"/>
      <c r="BY131" s="524"/>
      <c r="BZ131" s="524"/>
      <c r="CA131" s="524"/>
      <c r="CB131" s="524"/>
      <c r="CC131" s="524"/>
    </row>
    <row r="132" spans="1:81" s="457" customFormat="1" ht="114.75" x14ac:dyDescent="0.25">
      <c r="A132" s="513">
        <v>11900</v>
      </c>
      <c r="B132" s="514" t="s">
        <v>349</v>
      </c>
      <c r="C132" s="515" t="s">
        <v>357</v>
      </c>
      <c r="D132" s="514" t="s">
        <v>146</v>
      </c>
      <c r="E132" s="515" t="s">
        <v>373</v>
      </c>
      <c r="F132" s="514" t="s">
        <v>364</v>
      </c>
      <c r="G132" s="516" t="s">
        <v>123</v>
      </c>
      <c r="H132" s="517">
        <v>1</v>
      </c>
      <c r="I132" s="515" t="s">
        <v>460</v>
      </c>
      <c r="J132" s="514" t="s">
        <v>368</v>
      </c>
      <c r="K132" s="669">
        <v>151084884</v>
      </c>
      <c r="L132" s="690">
        <v>1</v>
      </c>
      <c r="M132" s="514" t="s">
        <v>46</v>
      </c>
      <c r="N132" s="514" t="s">
        <v>74</v>
      </c>
      <c r="O132" s="514" t="s">
        <v>21</v>
      </c>
      <c r="P132" s="514" t="s">
        <v>36</v>
      </c>
      <c r="Q132" s="514" t="s">
        <v>229</v>
      </c>
      <c r="R132" s="514" t="s">
        <v>695</v>
      </c>
      <c r="S132" s="514" t="s">
        <v>99</v>
      </c>
      <c r="T132" s="519">
        <v>1</v>
      </c>
      <c r="U132" s="520" t="str">
        <f t="shared" si="56"/>
        <v>Dar respuesta a las reclamaciones administrativas radicadas por las EPS o IPS dentro del término legal</v>
      </c>
      <c r="V132" s="521">
        <f t="shared" si="57"/>
        <v>151084884</v>
      </c>
      <c r="W132" s="522" t="s">
        <v>114</v>
      </c>
      <c r="X132" s="517">
        <v>0.25</v>
      </c>
      <c r="Y132" s="522" t="s">
        <v>368</v>
      </c>
      <c r="Z132" s="669">
        <f>+X132*V132</f>
        <v>37771221</v>
      </c>
      <c r="AA132" s="525">
        <f>65/66*0.25</f>
        <v>0.24621212121212122</v>
      </c>
      <c r="AB132" s="669">
        <f>8346884</f>
        <v>8346884</v>
      </c>
      <c r="AC132" s="523">
        <f t="shared" si="35"/>
        <v>0.98484848484848486</v>
      </c>
      <c r="AD132" s="678">
        <f>+(AB132/Z132)</f>
        <v>0.22098528400763109</v>
      </c>
      <c r="AE132" s="523">
        <f t="shared" si="37"/>
        <v>0.24621212121212122</v>
      </c>
      <c r="AF132" s="678">
        <f t="shared" si="38"/>
        <v>5.5246321001907774E-2</v>
      </c>
      <c r="AG132" s="528" t="s">
        <v>926</v>
      </c>
      <c r="AH132" s="517">
        <v>0.25</v>
      </c>
      <c r="AI132" s="522" t="s">
        <v>368</v>
      </c>
      <c r="AJ132" s="518">
        <v>37771221</v>
      </c>
      <c r="AK132" s="524"/>
      <c r="AL132" s="675"/>
      <c r="AM132" s="523">
        <f t="shared" si="39"/>
        <v>0</v>
      </c>
      <c r="AN132" s="678">
        <f t="shared" si="40"/>
        <v>0</v>
      </c>
      <c r="AO132" s="523">
        <f t="shared" si="41"/>
        <v>0.24621212121212122</v>
      </c>
      <c r="AP132" s="678">
        <f t="shared" si="42"/>
        <v>5.5246321001907774E-2</v>
      </c>
      <c r="AQ132" s="550"/>
      <c r="AR132" s="517">
        <v>0.25</v>
      </c>
      <c r="AS132" s="522" t="s">
        <v>368</v>
      </c>
      <c r="AT132" s="518">
        <v>37771221</v>
      </c>
      <c r="AU132" s="524"/>
      <c r="AV132" s="675"/>
      <c r="AW132" s="523">
        <f t="shared" si="43"/>
        <v>0</v>
      </c>
      <c r="AX132" s="678">
        <f t="shared" si="44"/>
        <v>0</v>
      </c>
      <c r="AY132" s="523">
        <f t="shared" si="45"/>
        <v>0.24621212121212122</v>
      </c>
      <c r="AZ132" s="678">
        <f t="shared" si="46"/>
        <v>5.5246321001907774E-2</v>
      </c>
      <c r="BA132" s="550"/>
      <c r="BB132" s="517">
        <v>0.25</v>
      </c>
      <c r="BC132" s="522" t="s">
        <v>368</v>
      </c>
      <c r="BD132" s="518">
        <v>37771221</v>
      </c>
      <c r="BE132" s="524"/>
      <c r="BF132" s="675"/>
      <c r="BG132" s="517">
        <f t="shared" si="58"/>
        <v>0</v>
      </c>
      <c r="BH132" s="663">
        <f t="shared" si="59"/>
        <v>0</v>
      </c>
      <c r="BI132" s="517">
        <f t="shared" si="60"/>
        <v>0.24621212121212122</v>
      </c>
      <c r="BJ132" s="663">
        <f t="shared" si="61"/>
        <v>5.5246321001907774E-2</v>
      </c>
      <c r="BK132" s="578"/>
      <c r="BL132" s="580">
        <f t="shared" si="47"/>
        <v>0.98484848484848486</v>
      </c>
      <c r="BM132" s="666">
        <f t="shared" si="48"/>
        <v>0.22098528400763109</v>
      </c>
      <c r="BN132" s="580">
        <f t="shared" si="49"/>
        <v>0</v>
      </c>
      <c r="BO132" s="666">
        <f t="shared" si="50"/>
        <v>0</v>
      </c>
      <c r="BP132" s="580">
        <f t="shared" si="51"/>
        <v>0</v>
      </c>
      <c r="BQ132" s="666">
        <f t="shared" si="52"/>
        <v>0</v>
      </c>
      <c r="BR132" s="580">
        <f t="shared" si="53"/>
        <v>0</v>
      </c>
      <c r="BS132" s="666">
        <f t="shared" si="54"/>
        <v>0</v>
      </c>
      <c r="BT132" s="525">
        <f t="shared" si="55"/>
        <v>0.58333333333333337</v>
      </c>
      <c r="BU132" s="526" t="str">
        <f t="shared" si="62"/>
        <v>Dar respuesta a las reclamaciones administrativas radicadas por las EPS o IPS dentro del término legal</v>
      </c>
      <c r="BV132" s="527">
        <f t="shared" si="34"/>
        <v>88132849</v>
      </c>
      <c r="BW132" s="524"/>
      <c r="BX132" s="524"/>
      <c r="BY132" s="524"/>
      <c r="BZ132" s="524"/>
      <c r="CA132" s="524"/>
      <c r="CB132" s="524"/>
      <c r="CC132" s="524"/>
    </row>
    <row r="133" spans="1:81" s="457" customFormat="1" ht="102" x14ac:dyDescent="0.25">
      <c r="A133" s="513">
        <v>11900</v>
      </c>
      <c r="B133" s="514" t="s">
        <v>349</v>
      </c>
      <c r="C133" s="515" t="s">
        <v>357</v>
      </c>
      <c r="D133" s="514" t="s">
        <v>146</v>
      </c>
      <c r="E133" s="515" t="s">
        <v>435</v>
      </c>
      <c r="F133" s="514" t="s">
        <v>365</v>
      </c>
      <c r="G133" s="516" t="s">
        <v>123</v>
      </c>
      <c r="H133" s="517">
        <v>1</v>
      </c>
      <c r="I133" s="515" t="s">
        <v>461</v>
      </c>
      <c r="J133" s="514" t="s">
        <v>369</v>
      </c>
      <c r="K133" s="681"/>
      <c r="L133" s="691"/>
      <c r="M133" s="514" t="s">
        <v>46</v>
      </c>
      <c r="N133" s="514" t="s">
        <v>74</v>
      </c>
      <c r="O133" s="514" t="s">
        <v>21</v>
      </c>
      <c r="P133" s="514" t="s">
        <v>36</v>
      </c>
      <c r="Q133" s="514" t="s">
        <v>229</v>
      </c>
      <c r="R133" s="514" t="s">
        <v>696</v>
      </c>
      <c r="S133" s="514" t="s">
        <v>99</v>
      </c>
      <c r="T133" s="519">
        <v>1</v>
      </c>
      <c r="U133" s="520" t="str">
        <f t="shared" si="56"/>
        <v>Interponer oportunamente los recursos de Ley contra los actos administrativos de Colpensiones que ordenan la devolución de aportes al extinto FOYSGA, hoy Administradora de los Recursos del Sistema General de Seguridad Social en Salud - ADRES</v>
      </c>
      <c r="V133" s="521">
        <f t="shared" si="57"/>
        <v>0</v>
      </c>
      <c r="W133" s="522" t="s">
        <v>114</v>
      </c>
      <c r="X133" s="517">
        <v>0.25</v>
      </c>
      <c r="Y133" s="522" t="s">
        <v>369</v>
      </c>
      <c r="Z133" s="681"/>
      <c r="AA133" s="525">
        <f>162/167*0.25</f>
        <v>0.24251497005988024</v>
      </c>
      <c r="AB133" s="681"/>
      <c r="AC133" s="523">
        <f t="shared" si="35"/>
        <v>0.97005988023952094</v>
      </c>
      <c r="AD133" s="679"/>
      <c r="AE133" s="523">
        <f t="shared" si="37"/>
        <v>0.24251497005988024</v>
      </c>
      <c r="AF133" s="679"/>
      <c r="AG133" s="523"/>
      <c r="AH133" s="517">
        <v>0.25</v>
      </c>
      <c r="AI133" s="522" t="s">
        <v>369</v>
      </c>
      <c r="AJ133" s="518">
        <v>0</v>
      </c>
      <c r="AK133" s="524"/>
      <c r="AL133" s="677"/>
      <c r="AM133" s="523">
        <f t="shared" si="39"/>
        <v>0</v>
      </c>
      <c r="AN133" s="679"/>
      <c r="AO133" s="523">
        <f t="shared" si="41"/>
        <v>0.24251497005988024</v>
      </c>
      <c r="AP133" s="679"/>
      <c r="AQ133" s="551"/>
      <c r="AR133" s="517">
        <v>0.25</v>
      </c>
      <c r="AS133" s="522" t="s">
        <v>369</v>
      </c>
      <c r="AT133" s="518">
        <v>0</v>
      </c>
      <c r="AU133" s="524"/>
      <c r="AV133" s="677"/>
      <c r="AW133" s="523">
        <f t="shared" si="43"/>
        <v>0</v>
      </c>
      <c r="AX133" s="679"/>
      <c r="AY133" s="523">
        <f t="shared" si="45"/>
        <v>0.24251497005988024</v>
      </c>
      <c r="AZ133" s="679"/>
      <c r="BA133" s="551"/>
      <c r="BB133" s="517">
        <v>0.25</v>
      </c>
      <c r="BC133" s="522" t="s">
        <v>369</v>
      </c>
      <c r="BD133" s="518">
        <v>0</v>
      </c>
      <c r="BE133" s="524"/>
      <c r="BF133" s="677"/>
      <c r="BG133" s="517">
        <f t="shared" si="58"/>
        <v>0</v>
      </c>
      <c r="BH133" s="694"/>
      <c r="BI133" s="517">
        <f t="shared" si="60"/>
        <v>0.24251497005988024</v>
      </c>
      <c r="BJ133" s="694"/>
      <c r="BK133" s="579"/>
      <c r="BL133" s="580">
        <f t="shared" si="47"/>
        <v>0.97005988023952094</v>
      </c>
      <c r="BM133" s="667"/>
      <c r="BN133" s="580">
        <f t="shared" si="49"/>
        <v>0</v>
      </c>
      <c r="BO133" s="667"/>
      <c r="BP133" s="580">
        <f t="shared" si="51"/>
        <v>0</v>
      </c>
      <c r="BQ133" s="667"/>
      <c r="BR133" s="580">
        <f t="shared" si="53"/>
        <v>0</v>
      </c>
      <c r="BS133" s="667"/>
      <c r="BT133" s="525">
        <f t="shared" si="55"/>
        <v>0.58333333333333337</v>
      </c>
      <c r="BU133" s="526" t="str">
        <f t="shared" si="62"/>
        <v>Interponer oportunamente los recursos de Ley contra los actos administrativos de Colpensiones que ordenan la devolución de aportes al extinto FOYSGA, hoy Administradora de los Recursos del Sistema General de Seguridad Social en Salud - ADRES</v>
      </c>
      <c r="BV133" s="527">
        <f t="shared" si="34"/>
        <v>0</v>
      </c>
      <c r="BW133" s="524"/>
      <c r="BX133" s="524"/>
      <c r="BY133" s="524"/>
      <c r="BZ133" s="524"/>
      <c r="CA133" s="524"/>
      <c r="CB133" s="524"/>
      <c r="CC133" s="524"/>
    </row>
    <row r="134" spans="1:81" s="457" customFormat="1" ht="63.75" x14ac:dyDescent="0.25">
      <c r="A134" s="513">
        <v>11900</v>
      </c>
      <c r="B134" s="514" t="s">
        <v>349</v>
      </c>
      <c r="C134" s="515" t="s">
        <v>357</v>
      </c>
      <c r="D134" s="514" t="s">
        <v>146</v>
      </c>
      <c r="E134" s="515" t="s">
        <v>443</v>
      </c>
      <c r="F134" s="514" t="s">
        <v>568</v>
      </c>
      <c r="G134" s="516" t="s">
        <v>123</v>
      </c>
      <c r="H134" s="517">
        <v>1</v>
      </c>
      <c r="I134" s="515" t="s">
        <v>548</v>
      </c>
      <c r="J134" s="514" t="s">
        <v>697</v>
      </c>
      <c r="K134" s="681"/>
      <c r="L134" s="691"/>
      <c r="M134" s="514" t="s">
        <v>46</v>
      </c>
      <c r="N134" s="514" t="s">
        <v>74</v>
      </c>
      <c r="O134" s="514" t="s">
        <v>21</v>
      </c>
      <c r="P134" s="514" t="s">
        <v>36</v>
      </c>
      <c r="Q134" s="514" t="s">
        <v>229</v>
      </c>
      <c r="R134" s="514" t="s">
        <v>698</v>
      </c>
      <c r="S134" s="514" t="s">
        <v>99</v>
      </c>
      <c r="T134" s="519">
        <v>1</v>
      </c>
      <c r="U134" s="520" t="str">
        <f t="shared" si="56"/>
        <v xml:space="preserve">Solicitudes de embargos </v>
      </c>
      <c r="V134" s="521">
        <f t="shared" si="57"/>
        <v>0</v>
      </c>
      <c r="W134" s="522" t="s">
        <v>114</v>
      </c>
      <c r="X134" s="517">
        <v>0.25</v>
      </c>
      <c r="Y134" s="522" t="s">
        <v>697</v>
      </c>
      <c r="Z134" s="670"/>
      <c r="AA134" s="525">
        <f>72/72*0.25</f>
        <v>0.25</v>
      </c>
      <c r="AB134" s="681"/>
      <c r="AC134" s="523">
        <f t="shared" si="35"/>
        <v>1</v>
      </c>
      <c r="AD134" s="679"/>
      <c r="AE134" s="523">
        <f t="shared" si="37"/>
        <v>0.25</v>
      </c>
      <c r="AF134" s="679"/>
      <c r="AG134" s="523"/>
      <c r="AH134" s="517">
        <v>0.25</v>
      </c>
      <c r="AI134" s="522" t="s">
        <v>697</v>
      </c>
      <c r="AJ134" s="518">
        <v>0</v>
      </c>
      <c r="AK134" s="524"/>
      <c r="AL134" s="677"/>
      <c r="AM134" s="523">
        <f t="shared" si="39"/>
        <v>0</v>
      </c>
      <c r="AN134" s="679"/>
      <c r="AO134" s="523">
        <f t="shared" si="41"/>
        <v>0.25</v>
      </c>
      <c r="AP134" s="679"/>
      <c r="AQ134" s="551"/>
      <c r="AR134" s="517">
        <v>0.25</v>
      </c>
      <c r="AS134" s="522" t="s">
        <v>697</v>
      </c>
      <c r="AT134" s="518">
        <v>0</v>
      </c>
      <c r="AU134" s="524"/>
      <c r="AV134" s="677"/>
      <c r="AW134" s="523">
        <f t="shared" si="43"/>
        <v>0</v>
      </c>
      <c r="AX134" s="679"/>
      <c r="AY134" s="523">
        <f t="shared" si="45"/>
        <v>0.25</v>
      </c>
      <c r="AZ134" s="679"/>
      <c r="BA134" s="551"/>
      <c r="BB134" s="517">
        <v>0.25</v>
      </c>
      <c r="BC134" s="522" t="s">
        <v>697</v>
      </c>
      <c r="BD134" s="518">
        <v>0</v>
      </c>
      <c r="BE134" s="524"/>
      <c r="BF134" s="677"/>
      <c r="BG134" s="517">
        <f t="shared" si="58"/>
        <v>0</v>
      </c>
      <c r="BH134" s="694"/>
      <c r="BI134" s="517">
        <f t="shared" si="60"/>
        <v>0.25</v>
      </c>
      <c r="BJ134" s="694"/>
      <c r="BK134" s="579"/>
      <c r="BL134" s="580">
        <f t="shared" si="47"/>
        <v>1</v>
      </c>
      <c r="BM134" s="667"/>
      <c r="BN134" s="580">
        <f t="shared" si="49"/>
        <v>0</v>
      </c>
      <c r="BO134" s="667"/>
      <c r="BP134" s="580">
        <f t="shared" si="51"/>
        <v>0</v>
      </c>
      <c r="BQ134" s="667"/>
      <c r="BR134" s="580">
        <f t="shared" si="53"/>
        <v>0</v>
      </c>
      <c r="BS134" s="667"/>
      <c r="BT134" s="525">
        <f t="shared" si="55"/>
        <v>0.58333333333333337</v>
      </c>
      <c r="BU134" s="526" t="str">
        <f t="shared" si="62"/>
        <v xml:space="preserve">Solicitudes de embargos </v>
      </c>
      <c r="BV134" s="527">
        <f t="shared" si="34"/>
        <v>0</v>
      </c>
      <c r="BW134" s="524"/>
      <c r="BX134" s="524"/>
      <c r="BY134" s="524"/>
      <c r="BZ134" s="524"/>
      <c r="CA134" s="524"/>
      <c r="CB134" s="524"/>
      <c r="CC134" s="524"/>
    </row>
    <row r="135" spans="1:81" s="457" customFormat="1" ht="51" x14ac:dyDescent="0.25">
      <c r="A135" s="513">
        <v>11900</v>
      </c>
      <c r="B135" s="514" t="s">
        <v>349</v>
      </c>
      <c r="C135" s="515" t="s">
        <v>357</v>
      </c>
      <c r="D135" s="514" t="s">
        <v>146</v>
      </c>
      <c r="E135" s="515" t="s">
        <v>447</v>
      </c>
      <c r="F135" s="514" t="s">
        <v>448</v>
      </c>
      <c r="G135" s="516" t="s">
        <v>123</v>
      </c>
      <c r="H135" s="517">
        <v>1</v>
      </c>
      <c r="I135" s="515" t="s">
        <v>463</v>
      </c>
      <c r="J135" s="514" t="s">
        <v>551</v>
      </c>
      <c r="K135" s="518">
        <v>590922272</v>
      </c>
      <c r="L135" s="519">
        <v>1</v>
      </c>
      <c r="M135" s="514" t="s">
        <v>46</v>
      </c>
      <c r="N135" s="514" t="s">
        <v>74</v>
      </c>
      <c r="O135" s="514" t="s">
        <v>21</v>
      </c>
      <c r="P135" s="514" t="s">
        <v>36</v>
      </c>
      <c r="Q135" s="514" t="s">
        <v>229</v>
      </c>
      <c r="R135" s="514" t="s">
        <v>765</v>
      </c>
      <c r="S135" s="514" t="s">
        <v>99</v>
      </c>
      <c r="T135" s="519">
        <v>1</v>
      </c>
      <c r="U135" s="520" t="str">
        <f t="shared" si="56"/>
        <v>Conceptos</v>
      </c>
      <c r="V135" s="521">
        <f t="shared" si="57"/>
        <v>590922272</v>
      </c>
      <c r="W135" s="522" t="s">
        <v>114</v>
      </c>
      <c r="X135" s="517">
        <v>0.25</v>
      </c>
      <c r="Y135" s="529" t="str">
        <f>+U135</f>
        <v>Conceptos</v>
      </c>
      <c r="Z135" s="518">
        <f>+V135*X135</f>
        <v>147730568</v>
      </c>
      <c r="AA135" s="525">
        <f>13/16*0.25</f>
        <v>0.203125</v>
      </c>
      <c r="AB135" s="620">
        <f>10928337+25969417</f>
        <v>36897754</v>
      </c>
      <c r="AC135" s="523">
        <f t="shared" si="35"/>
        <v>0.8125</v>
      </c>
      <c r="AD135" s="523">
        <f t="shared" si="36"/>
        <v>0.24976384034480933</v>
      </c>
      <c r="AE135" s="523">
        <f t="shared" si="37"/>
        <v>0.203125</v>
      </c>
      <c r="AF135" s="523">
        <f t="shared" si="38"/>
        <v>6.2440960086202334E-2</v>
      </c>
      <c r="AG135" s="523"/>
      <c r="AH135" s="517">
        <v>0.25</v>
      </c>
      <c r="AI135" s="522" t="s">
        <v>444</v>
      </c>
      <c r="AJ135" s="518">
        <v>147730568</v>
      </c>
      <c r="AK135" s="524"/>
      <c r="AL135" s="524"/>
      <c r="AM135" s="523">
        <f t="shared" si="39"/>
        <v>0</v>
      </c>
      <c r="AN135" s="523">
        <f t="shared" si="40"/>
        <v>0</v>
      </c>
      <c r="AO135" s="523">
        <f t="shared" si="41"/>
        <v>0.203125</v>
      </c>
      <c r="AP135" s="523">
        <f t="shared" si="42"/>
        <v>6.2440960086202334E-2</v>
      </c>
      <c r="AQ135" s="523"/>
      <c r="AR135" s="517">
        <v>0.25</v>
      </c>
      <c r="AS135" s="522" t="s">
        <v>444</v>
      </c>
      <c r="AT135" s="518">
        <v>147730568</v>
      </c>
      <c r="AU135" s="524"/>
      <c r="AV135" s="524"/>
      <c r="AW135" s="523">
        <f t="shared" si="43"/>
        <v>0</v>
      </c>
      <c r="AX135" s="523">
        <f t="shared" si="44"/>
        <v>0</v>
      </c>
      <c r="AY135" s="523">
        <f t="shared" si="45"/>
        <v>0.203125</v>
      </c>
      <c r="AZ135" s="523">
        <f t="shared" si="46"/>
        <v>6.2440960086202334E-2</v>
      </c>
      <c r="BA135" s="523"/>
      <c r="BB135" s="517">
        <v>0.25</v>
      </c>
      <c r="BC135" s="522" t="s">
        <v>444</v>
      </c>
      <c r="BD135" s="518">
        <v>147730568</v>
      </c>
      <c r="BE135" s="524"/>
      <c r="BF135" s="524"/>
      <c r="BG135" s="517">
        <f t="shared" si="58"/>
        <v>0</v>
      </c>
      <c r="BH135" s="517">
        <f t="shared" si="59"/>
        <v>0</v>
      </c>
      <c r="BI135" s="517">
        <f t="shared" si="60"/>
        <v>0.203125</v>
      </c>
      <c r="BJ135" s="517">
        <f t="shared" si="61"/>
        <v>6.2440960086202334E-2</v>
      </c>
      <c r="BK135" s="517"/>
      <c r="BL135" s="580">
        <f t="shared" si="47"/>
        <v>0.8125</v>
      </c>
      <c r="BM135" s="580">
        <f t="shared" si="48"/>
        <v>0.24976384034480933</v>
      </c>
      <c r="BN135" s="580">
        <f t="shared" si="49"/>
        <v>0</v>
      </c>
      <c r="BO135" s="580">
        <f t="shared" si="50"/>
        <v>0</v>
      </c>
      <c r="BP135" s="580">
        <f t="shared" si="51"/>
        <v>0</v>
      </c>
      <c r="BQ135" s="580">
        <f t="shared" si="52"/>
        <v>0</v>
      </c>
      <c r="BR135" s="580">
        <f t="shared" si="53"/>
        <v>0</v>
      </c>
      <c r="BS135" s="580">
        <f t="shared" si="54"/>
        <v>0</v>
      </c>
      <c r="BT135" s="525">
        <f t="shared" si="55"/>
        <v>0.58333333333333337</v>
      </c>
      <c r="BU135" s="526" t="str">
        <f t="shared" si="62"/>
        <v>Conceptos</v>
      </c>
      <c r="BV135" s="527">
        <f t="shared" si="34"/>
        <v>344704658.66666669</v>
      </c>
      <c r="BW135" s="524"/>
      <c r="BX135" s="524"/>
      <c r="BY135" s="524"/>
      <c r="BZ135" s="524"/>
      <c r="CA135" s="524"/>
      <c r="CB135" s="524"/>
      <c r="CC135" s="524"/>
    </row>
    <row r="136" spans="1:81" s="457" customFormat="1" ht="63.75" x14ac:dyDescent="0.25">
      <c r="A136" s="513">
        <v>11900</v>
      </c>
      <c r="B136" s="514" t="s">
        <v>349</v>
      </c>
      <c r="C136" s="515" t="s">
        <v>357</v>
      </c>
      <c r="D136" s="514" t="s">
        <v>146</v>
      </c>
      <c r="E136" s="515" t="s">
        <v>450</v>
      </c>
      <c r="F136" s="514" t="s">
        <v>449</v>
      </c>
      <c r="G136" s="516" t="s">
        <v>124</v>
      </c>
      <c r="H136" s="547">
        <v>2</v>
      </c>
      <c r="I136" s="515" t="s">
        <v>549</v>
      </c>
      <c r="J136" s="514" t="s">
        <v>699</v>
      </c>
      <c r="K136" s="518">
        <v>0</v>
      </c>
      <c r="L136" s="519">
        <v>1</v>
      </c>
      <c r="M136" s="514" t="s">
        <v>46</v>
      </c>
      <c r="N136" s="514" t="s">
        <v>74</v>
      </c>
      <c r="O136" s="514" t="s">
        <v>21</v>
      </c>
      <c r="P136" s="514" t="s">
        <v>36</v>
      </c>
      <c r="Q136" s="514" t="s">
        <v>229</v>
      </c>
      <c r="R136" s="514" t="s">
        <v>631</v>
      </c>
      <c r="S136" s="514" t="s">
        <v>99</v>
      </c>
      <c r="T136" s="548">
        <v>2</v>
      </c>
      <c r="U136" s="520" t="str">
        <f t="shared" si="56"/>
        <v>Informe de identificación de  reclamaciones contenidas en actos administrativos debidamente ejecutoriados y con mora mayor a 180 días</v>
      </c>
      <c r="V136" s="521">
        <f t="shared" si="57"/>
        <v>0</v>
      </c>
      <c r="W136" s="522" t="s">
        <v>117</v>
      </c>
      <c r="X136" s="547">
        <v>2</v>
      </c>
      <c r="Y136" s="529" t="str">
        <f>+U136</f>
        <v>Informe de identificación de  reclamaciones contenidas en actos administrativos debidamente ejecutoriados y con mora mayor a 180 días</v>
      </c>
      <c r="Z136" s="518">
        <v>0</v>
      </c>
      <c r="AA136" s="524">
        <v>1</v>
      </c>
      <c r="AB136" s="524">
        <v>0</v>
      </c>
      <c r="AC136" s="523">
        <f t="shared" si="35"/>
        <v>0.5</v>
      </c>
      <c r="AD136" s="523" t="e">
        <f t="shared" si="36"/>
        <v>#DIV/0!</v>
      </c>
      <c r="AE136" s="523">
        <f t="shared" si="37"/>
        <v>0.5</v>
      </c>
      <c r="AF136" s="523" t="e">
        <f t="shared" si="38"/>
        <v>#DIV/0!</v>
      </c>
      <c r="AG136" s="528"/>
      <c r="AH136" s="547">
        <v>0</v>
      </c>
      <c r="AI136" s="522" t="s">
        <v>368</v>
      </c>
      <c r="AJ136" s="518">
        <v>0</v>
      </c>
      <c r="AK136" s="524"/>
      <c r="AL136" s="524"/>
      <c r="AM136" s="523" t="e">
        <f t="shared" si="39"/>
        <v>#DIV/0!</v>
      </c>
      <c r="AN136" s="523" t="e">
        <f t="shared" si="40"/>
        <v>#DIV/0!</v>
      </c>
      <c r="AO136" s="523">
        <f t="shared" si="41"/>
        <v>0.5</v>
      </c>
      <c r="AP136" s="523" t="e">
        <f t="shared" si="42"/>
        <v>#DIV/0!</v>
      </c>
      <c r="AQ136" s="523"/>
      <c r="AR136" s="547">
        <v>0</v>
      </c>
      <c r="AS136" s="522" t="s">
        <v>368</v>
      </c>
      <c r="AT136" s="518">
        <v>0</v>
      </c>
      <c r="AU136" s="524"/>
      <c r="AV136" s="524"/>
      <c r="AW136" s="523" t="e">
        <f t="shared" si="43"/>
        <v>#DIV/0!</v>
      </c>
      <c r="AX136" s="523" t="e">
        <f t="shared" si="44"/>
        <v>#DIV/0!</v>
      </c>
      <c r="AY136" s="523">
        <f t="shared" si="45"/>
        <v>0.5</v>
      </c>
      <c r="AZ136" s="523" t="e">
        <f t="shared" si="46"/>
        <v>#DIV/0!</v>
      </c>
      <c r="BA136" s="523"/>
      <c r="BB136" s="547">
        <v>0</v>
      </c>
      <c r="BC136" s="522" t="s">
        <v>368</v>
      </c>
      <c r="BD136" s="518">
        <v>0</v>
      </c>
      <c r="BE136" s="524"/>
      <c r="BF136" s="524"/>
      <c r="BG136" s="517" t="e">
        <f t="shared" si="58"/>
        <v>#DIV/0!</v>
      </c>
      <c r="BH136" s="517" t="e">
        <f t="shared" si="59"/>
        <v>#DIV/0!</v>
      </c>
      <c r="BI136" s="517">
        <f t="shared" si="60"/>
        <v>0.5</v>
      </c>
      <c r="BJ136" s="517" t="e">
        <f t="shared" si="61"/>
        <v>#DIV/0!</v>
      </c>
      <c r="BK136" s="517"/>
      <c r="BL136" s="580">
        <f t="shared" si="47"/>
        <v>0.5</v>
      </c>
      <c r="BM136" s="580" t="str">
        <f t="shared" si="48"/>
        <v>No Prog ni Ejec</v>
      </c>
      <c r="BN136" s="580" t="str">
        <f t="shared" si="49"/>
        <v>No Prog ni Ejec</v>
      </c>
      <c r="BO136" s="580" t="str">
        <f t="shared" si="50"/>
        <v>No Prog ni Ejec</v>
      </c>
      <c r="BP136" s="580" t="str">
        <f t="shared" si="51"/>
        <v>No Prog ni Ejec</v>
      </c>
      <c r="BQ136" s="580" t="str">
        <f t="shared" si="52"/>
        <v>No Prog ni Ejec</v>
      </c>
      <c r="BR136" s="580" t="str">
        <f t="shared" si="53"/>
        <v>No Prog ni Ejec</v>
      </c>
      <c r="BS136" s="580" t="str">
        <f t="shared" si="54"/>
        <v>No Prog ni Ejec</v>
      </c>
      <c r="BT136" s="553">
        <f t="shared" si="55"/>
        <v>2</v>
      </c>
      <c r="BU136" s="526" t="str">
        <f t="shared" si="62"/>
        <v>Informe de identificación de  reclamaciones contenidas en actos administrativos debidamente ejecutoriados y con mora mayor a 180 días</v>
      </c>
      <c r="BV136" s="527">
        <f t="shared" si="34"/>
        <v>0</v>
      </c>
      <c r="BW136" s="524"/>
      <c r="BX136" s="524"/>
      <c r="BY136" s="524"/>
      <c r="BZ136" s="524"/>
      <c r="CA136" s="524"/>
      <c r="CB136" s="524"/>
      <c r="CC136" s="524"/>
    </row>
    <row r="137" spans="1:81" s="457" customFormat="1" ht="102" x14ac:dyDescent="0.25">
      <c r="A137" s="513">
        <v>11900</v>
      </c>
      <c r="B137" s="514" t="s">
        <v>349</v>
      </c>
      <c r="C137" s="515" t="s">
        <v>357</v>
      </c>
      <c r="D137" s="514" t="s">
        <v>146</v>
      </c>
      <c r="E137" s="659" t="s">
        <v>450</v>
      </c>
      <c r="F137" s="657" t="s">
        <v>449</v>
      </c>
      <c r="G137" s="659" t="s">
        <v>123</v>
      </c>
      <c r="H137" s="517">
        <v>1</v>
      </c>
      <c r="I137" s="659" t="s">
        <v>550</v>
      </c>
      <c r="J137" s="657" t="s">
        <v>451</v>
      </c>
      <c r="K137" s="669">
        <v>0</v>
      </c>
      <c r="L137" s="519">
        <v>1</v>
      </c>
      <c r="M137" s="657" t="s">
        <v>46</v>
      </c>
      <c r="N137" s="657" t="s">
        <v>74</v>
      </c>
      <c r="O137" s="657" t="s">
        <v>21</v>
      </c>
      <c r="P137" s="657" t="s">
        <v>36</v>
      </c>
      <c r="Q137" s="657" t="s">
        <v>229</v>
      </c>
      <c r="R137" s="514" t="s">
        <v>453</v>
      </c>
      <c r="S137" s="514" t="s">
        <v>99</v>
      </c>
      <c r="T137" s="519">
        <v>1</v>
      </c>
      <c r="U137" s="520" t="str">
        <f t="shared" si="56"/>
        <v>Venta de Cartera mayor a &gt;180 días con actos administrativos debidamente ejecutoriados a Central de Inversiones SA -CISA-</v>
      </c>
      <c r="V137" s="521">
        <f t="shared" si="57"/>
        <v>0</v>
      </c>
      <c r="W137" s="522" t="s">
        <v>117</v>
      </c>
      <c r="X137" s="517">
        <v>0.5</v>
      </c>
      <c r="Y137" s="529" t="str">
        <f>+U137</f>
        <v>Venta de Cartera mayor a &gt;180 días con actos administrativos debidamente ejecutoriados a Central de Inversiones SA -CISA-</v>
      </c>
      <c r="Z137" s="518">
        <v>0</v>
      </c>
      <c r="AA137" s="524">
        <v>0</v>
      </c>
      <c r="AB137" s="524">
        <v>0</v>
      </c>
      <c r="AC137" s="523">
        <f t="shared" si="35"/>
        <v>0</v>
      </c>
      <c r="AD137" s="523" t="e">
        <f>+(AB137/Z137)</f>
        <v>#DIV/0!</v>
      </c>
      <c r="AE137" s="523">
        <f t="shared" si="37"/>
        <v>0</v>
      </c>
      <c r="AF137" s="523" t="e">
        <f t="shared" si="38"/>
        <v>#DIV/0!</v>
      </c>
      <c r="AG137" s="528"/>
      <c r="AH137" s="517">
        <v>0.5</v>
      </c>
      <c r="AI137" s="522" t="s">
        <v>369</v>
      </c>
      <c r="AJ137" s="518">
        <v>0</v>
      </c>
      <c r="AK137" s="524"/>
      <c r="AL137" s="524"/>
      <c r="AM137" s="523">
        <f t="shared" si="39"/>
        <v>0</v>
      </c>
      <c r="AN137" s="523" t="e">
        <f t="shared" si="40"/>
        <v>#DIV/0!</v>
      </c>
      <c r="AO137" s="523">
        <f t="shared" si="41"/>
        <v>0</v>
      </c>
      <c r="AP137" s="523" t="e">
        <f t="shared" si="42"/>
        <v>#DIV/0!</v>
      </c>
      <c r="AQ137" s="523"/>
      <c r="AR137" s="517">
        <v>0</v>
      </c>
      <c r="AS137" s="522" t="s">
        <v>369</v>
      </c>
      <c r="AT137" s="518">
        <v>0</v>
      </c>
      <c r="AU137" s="524"/>
      <c r="AV137" s="524"/>
      <c r="AW137" s="523" t="e">
        <f t="shared" si="43"/>
        <v>#DIV/0!</v>
      </c>
      <c r="AX137" s="523" t="e">
        <f t="shared" si="44"/>
        <v>#DIV/0!</v>
      </c>
      <c r="AY137" s="523">
        <f t="shared" si="45"/>
        <v>0</v>
      </c>
      <c r="AZ137" s="523" t="e">
        <f t="shared" si="46"/>
        <v>#DIV/0!</v>
      </c>
      <c r="BA137" s="523"/>
      <c r="BB137" s="517">
        <v>0</v>
      </c>
      <c r="BC137" s="522" t="s">
        <v>369</v>
      </c>
      <c r="BD137" s="518">
        <v>0</v>
      </c>
      <c r="BE137" s="524"/>
      <c r="BF137" s="524"/>
      <c r="BG137" s="517" t="e">
        <f t="shared" si="58"/>
        <v>#DIV/0!</v>
      </c>
      <c r="BH137" s="517" t="e">
        <f t="shared" si="59"/>
        <v>#DIV/0!</v>
      </c>
      <c r="BI137" s="517">
        <f t="shared" si="60"/>
        <v>0</v>
      </c>
      <c r="BJ137" s="517" t="e">
        <f t="shared" si="61"/>
        <v>#DIV/0!</v>
      </c>
      <c r="BK137" s="517"/>
      <c r="BL137" s="580">
        <f t="shared" si="47"/>
        <v>0</v>
      </c>
      <c r="BM137" s="580" t="str">
        <f t="shared" si="48"/>
        <v>No Prog ni Ejec</v>
      </c>
      <c r="BN137" s="580">
        <f t="shared" si="49"/>
        <v>0</v>
      </c>
      <c r="BO137" s="580" t="str">
        <f t="shared" si="50"/>
        <v>No Prog ni Ejec</v>
      </c>
      <c r="BP137" s="580" t="str">
        <f t="shared" si="51"/>
        <v>No Prog ni Ejec</v>
      </c>
      <c r="BQ137" s="580" t="str">
        <f t="shared" si="52"/>
        <v>No Prog ni Ejec</v>
      </c>
      <c r="BR137" s="580" t="str">
        <f t="shared" si="53"/>
        <v>No Prog ni Ejec</v>
      </c>
      <c r="BS137" s="580" t="str">
        <f t="shared" si="54"/>
        <v>No Prog ni Ejec</v>
      </c>
      <c r="BT137" s="525">
        <f t="shared" si="55"/>
        <v>1</v>
      </c>
      <c r="BU137" s="526" t="str">
        <f t="shared" si="62"/>
        <v>Venta de Cartera mayor a &gt;180 días con actos administrativos debidamente ejecutoriados a Central de Inversiones SA -CISA-</v>
      </c>
      <c r="BV137" s="527">
        <f t="shared" si="34"/>
        <v>0</v>
      </c>
      <c r="BW137" s="524"/>
      <c r="BX137" s="524"/>
      <c r="BY137" s="524"/>
      <c r="BZ137" s="524"/>
      <c r="CA137" s="524"/>
      <c r="CB137" s="524"/>
      <c r="CC137" s="524"/>
    </row>
    <row r="138" spans="1:81" s="457" customFormat="1" ht="318.75" x14ac:dyDescent="0.25">
      <c r="A138" s="513">
        <v>11900</v>
      </c>
      <c r="B138" s="514" t="s">
        <v>349</v>
      </c>
      <c r="C138" s="515" t="s">
        <v>357</v>
      </c>
      <c r="D138" s="514" t="s">
        <v>146</v>
      </c>
      <c r="E138" s="660"/>
      <c r="F138" s="658"/>
      <c r="G138" s="660"/>
      <c r="H138" s="517">
        <v>0.02</v>
      </c>
      <c r="I138" s="660"/>
      <c r="J138" s="658"/>
      <c r="K138" s="670"/>
      <c r="L138" s="519">
        <v>0.02</v>
      </c>
      <c r="M138" s="658"/>
      <c r="N138" s="658"/>
      <c r="O138" s="658"/>
      <c r="P138" s="658"/>
      <c r="Q138" s="658"/>
      <c r="R138" s="514" t="s">
        <v>838</v>
      </c>
      <c r="S138" s="514" t="s">
        <v>99</v>
      </c>
      <c r="T138" s="519">
        <v>0.3</v>
      </c>
      <c r="U138" s="520" t="str">
        <f>+J137</f>
        <v>Venta de Cartera mayor a &gt;180 días con actos administrativos debidamente ejecutoriados a Central de Inversiones SA -CISA-</v>
      </c>
      <c r="V138" s="521">
        <f t="shared" ref="V138" si="83">+K138</f>
        <v>0</v>
      </c>
      <c r="W138" s="522" t="s">
        <v>117</v>
      </c>
      <c r="X138" s="517">
        <v>0.02</v>
      </c>
      <c r="Y138" s="529" t="str">
        <f>+U138</f>
        <v>Venta de Cartera mayor a &gt;180 días con actos administrativos debidamente ejecutoriados a Central de Inversiones SA -CISA-</v>
      </c>
      <c r="Z138" s="518">
        <v>0</v>
      </c>
      <c r="AA138" s="525">
        <v>0</v>
      </c>
      <c r="AB138" s="524">
        <v>0</v>
      </c>
      <c r="AC138" s="523">
        <f t="shared" si="35"/>
        <v>0</v>
      </c>
      <c r="AD138" s="523" t="e">
        <f>+(AB138/Z138)</f>
        <v>#DIV/0!</v>
      </c>
      <c r="AE138" s="523">
        <f t="shared" ref="AE138" si="84">+(AA138/T138)</f>
        <v>0</v>
      </c>
      <c r="AF138" s="523" t="e">
        <f t="shared" ref="AF138" si="85">+(AB138/V138)</f>
        <v>#DIV/0!</v>
      </c>
      <c r="AG138" s="621" t="s">
        <v>903</v>
      </c>
      <c r="AH138" s="517">
        <v>0.02</v>
      </c>
      <c r="AI138" s="522" t="s">
        <v>369</v>
      </c>
      <c r="AJ138" s="518">
        <v>0</v>
      </c>
      <c r="AK138" s="524"/>
      <c r="AL138" s="524"/>
      <c r="AM138" s="523">
        <f t="shared" si="39"/>
        <v>0</v>
      </c>
      <c r="AN138" s="523" t="e">
        <f t="shared" ref="AN138" si="86">+(AL138/AJ138)</f>
        <v>#DIV/0!</v>
      </c>
      <c r="AO138" s="523">
        <f t="shared" ref="AO138" si="87">+(AK138+AA138)/T138</f>
        <v>0</v>
      </c>
      <c r="AP138" s="523" t="e">
        <f t="shared" ref="AP138" si="88">+(AL138+AB138)/V138</f>
        <v>#DIV/0!</v>
      </c>
      <c r="AQ138" s="523"/>
      <c r="AR138" s="517">
        <v>0</v>
      </c>
      <c r="AS138" s="522" t="s">
        <v>369</v>
      </c>
      <c r="AT138" s="518">
        <v>0</v>
      </c>
      <c r="AU138" s="524"/>
      <c r="AV138" s="524"/>
      <c r="AW138" s="523" t="e">
        <f t="shared" si="43"/>
        <v>#DIV/0!</v>
      </c>
      <c r="AX138" s="523" t="e">
        <f>+(AV138/AT138)</f>
        <v>#DIV/0!</v>
      </c>
      <c r="AY138" s="523">
        <f t="shared" ref="AY138" si="89">+(AK138+AA138+AU138)/T138</f>
        <v>0</v>
      </c>
      <c r="AZ138" s="523" t="e">
        <f t="shared" ref="AZ138" si="90">+(AL138+AB138+AV138)/V138</f>
        <v>#DIV/0!</v>
      </c>
      <c r="BA138" s="523"/>
      <c r="BB138" s="517">
        <v>0</v>
      </c>
      <c r="BC138" s="522" t="s">
        <v>369</v>
      </c>
      <c r="BD138" s="518">
        <v>0</v>
      </c>
      <c r="BE138" s="524"/>
      <c r="BF138" s="524"/>
      <c r="BG138" s="517" t="e">
        <f t="shared" ref="BG138" si="91">+(BE138/BB138)</f>
        <v>#DIV/0!</v>
      </c>
      <c r="BH138" s="517" t="e">
        <f t="shared" ref="BH138" si="92">+(BF138/BD138)</f>
        <v>#DIV/0!</v>
      </c>
      <c r="BI138" s="517">
        <f t="shared" ref="BI138" si="93">+(AK138+AA138+AU138+BE138)/T138</f>
        <v>0</v>
      </c>
      <c r="BJ138" s="517" t="e">
        <f t="shared" ref="BJ138" si="94">+(AL138+AB138+AV138+BF138)/V138</f>
        <v>#DIV/0!</v>
      </c>
      <c r="BK138" s="517"/>
      <c r="BL138" s="580">
        <f>IF(AND(X138=0,AA138=0),"No Prog ni Ejec",IF(X138=0,CONCATENATE("No Prog, Ejec=  ",AA138),AA138/X138))</f>
        <v>0</v>
      </c>
      <c r="BM138" s="580" t="str">
        <f>IF(AND(Z138=0,AB138=0),"No Prog ni Ejec",IF(Z138=0,CONCATENATE("No Prog, Ejec=  ",AB138),AB138/Z138))</f>
        <v>No Prog ni Ejec</v>
      </c>
      <c r="BN138" s="580">
        <f t="shared" si="49"/>
        <v>0</v>
      </c>
      <c r="BO138" s="580" t="str">
        <f t="shared" si="50"/>
        <v>No Prog ni Ejec</v>
      </c>
      <c r="BP138" s="580" t="str">
        <f t="shared" si="51"/>
        <v>No Prog ni Ejec</v>
      </c>
      <c r="BQ138" s="580" t="str">
        <f>IF(AND(AT138=0,AV138=0),"No Prog ni Ejec",IF(AT138=0,CONCATENATE("No Prog, Ejec=  ",AV138),AV138/AT138))</f>
        <v>No Prog ni Ejec</v>
      </c>
      <c r="BR138" s="580" t="str">
        <f t="shared" ref="BR138" si="95">IF(AND(BB138=0,BE138=0),"No Prog ni Ejec",IF(BB138=0,CONCATENATE("No Prog, Ejec=  ",BE138),BE138/BB138))</f>
        <v>No Prog ni Ejec</v>
      </c>
      <c r="BS138" s="580" t="str">
        <f>IF(AND(BD138=0,BF138=0),"No Prog ni Ejec",IF(BD138=0,CONCATENATE("No Prog, Ejec=  ",BF138),BF138/BD138))</f>
        <v>No Prog ni Ejec</v>
      </c>
      <c r="BT138" s="525">
        <f t="shared" si="55"/>
        <v>0.04</v>
      </c>
      <c r="BU138" s="526" t="str">
        <f t="shared" si="62"/>
        <v>Venta de Cartera mayor a &gt;180 días con actos administrativos debidamente ejecutoriados a Central de Inversiones SA -CISA-</v>
      </c>
      <c r="BV138" s="527">
        <f t="shared" si="34"/>
        <v>0</v>
      </c>
      <c r="BW138" s="524"/>
      <c r="BX138" s="524"/>
      <c r="BY138" s="524"/>
      <c r="BZ138" s="524"/>
      <c r="CA138" s="524"/>
      <c r="CB138" s="524"/>
      <c r="CC138" s="524"/>
    </row>
    <row r="139" spans="1:81" s="457" customFormat="1" ht="395.25" x14ac:dyDescent="0.25">
      <c r="A139" s="513">
        <v>11900</v>
      </c>
      <c r="B139" s="514" t="s">
        <v>349</v>
      </c>
      <c r="C139" s="515" t="s">
        <v>357</v>
      </c>
      <c r="D139" s="514" t="s">
        <v>146</v>
      </c>
      <c r="E139" s="515" t="s">
        <v>450</v>
      </c>
      <c r="F139" s="514" t="s">
        <v>449</v>
      </c>
      <c r="G139" s="516" t="s">
        <v>123</v>
      </c>
      <c r="H139" s="517">
        <v>1</v>
      </c>
      <c r="I139" s="515" t="s">
        <v>464</v>
      </c>
      <c r="J139" s="514" t="s">
        <v>1012</v>
      </c>
      <c r="K139" s="518">
        <v>55760808</v>
      </c>
      <c r="L139" s="519">
        <v>1</v>
      </c>
      <c r="M139" s="514" t="s">
        <v>46</v>
      </c>
      <c r="N139" s="514" t="s">
        <v>74</v>
      </c>
      <c r="O139" s="514" t="s">
        <v>21</v>
      </c>
      <c r="P139" s="514" t="s">
        <v>36</v>
      </c>
      <c r="Q139" s="514" t="s">
        <v>229</v>
      </c>
      <c r="R139" s="514" t="s">
        <v>839</v>
      </c>
      <c r="S139" s="514" t="s">
        <v>99</v>
      </c>
      <c r="T139" s="519">
        <v>1</v>
      </c>
      <c r="U139" s="520" t="str">
        <f t="shared" si="56"/>
        <v>Actos administrativos mediante los cuales se establecen los fallecidos, incobrables, cancelados y revocados, resultado del proceso de depuración</v>
      </c>
      <c r="V139" s="521">
        <f t="shared" si="57"/>
        <v>55760808</v>
      </c>
      <c r="W139" s="522" t="s">
        <v>114</v>
      </c>
      <c r="X139" s="517">
        <v>0.25</v>
      </c>
      <c r="Y139" s="529" t="str">
        <f>+U139</f>
        <v>Actos administrativos mediante los cuales se establecen los fallecidos, incobrables, cancelados y revocados, resultado del proceso de depuración</v>
      </c>
      <c r="Z139" s="518">
        <v>13940202</v>
      </c>
      <c r="AA139" s="525">
        <v>0</v>
      </c>
      <c r="AB139" s="622">
        <v>11771726</v>
      </c>
      <c r="AC139" s="523">
        <f t="shared" si="35"/>
        <v>0</v>
      </c>
      <c r="AD139" s="523">
        <f t="shared" si="36"/>
        <v>0.84444443487978149</v>
      </c>
      <c r="AE139" s="523">
        <f t="shared" si="37"/>
        <v>0</v>
      </c>
      <c r="AF139" s="523">
        <f t="shared" si="38"/>
        <v>0.21111110871994537</v>
      </c>
      <c r="AG139" s="621" t="s">
        <v>904</v>
      </c>
      <c r="AH139" s="517">
        <v>0.25</v>
      </c>
      <c r="AI139" s="522" t="s">
        <v>452</v>
      </c>
      <c r="AJ139" s="518">
        <v>13940202</v>
      </c>
      <c r="AK139" s="524"/>
      <c r="AL139" s="524"/>
      <c r="AM139" s="523">
        <f t="shared" si="39"/>
        <v>0</v>
      </c>
      <c r="AN139" s="523">
        <f t="shared" si="40"/>
        <v>0</v>
      </c>
      <c r="AO139" s="523">
        <f t="shared" si="41"/>
        <v>0</v>
      </c>
      <c r="AP139" s="523">
        <f t="shared" si="42"/>
        <v>0.21111110871994537</v>
      </c>
      <c r="AQ139" s="523"/>
      <c r="AR139" s="517">
        <v>0.25</v>
      </c>
      <c r="AS139" s="522" t="s">
        <v>452</v>
      </c>
      <c r="AT139" s="518">
        <v>13940202</v>
      </c>
      <c r="AU139" s="524"/>
      <c r="AV139" s="524"/>
      <c r="AW139" s="523">
        <f t="shared" si="43"/>
        <v>0</v>
      </c>
      <c r="AX139" s="523">
        <f t="shared" si="44"/>
        <v>0</v>
      </c>
      <c r="AY139" s="523">
        <f t="shared" si="45"/>
        <v>0</v>
      </c>
      <c r="AZ139" s="523">
        <f t="shared" si="46"/>
        <v>0.21111110871994537</v>
      </c>
      <c r="BA139" s="523"/>
      <c r="BB139" s="517">
        <v>0.25</v>
      </c>
      <c r="BC139" s="522" t="s">
        <v>452</v>
      </c>
      <c r="BD139" s="518">
        <v>13940202</v>
      </c>
      <c r="BE139" s="524"/>
      <c r="BF139" s="524"/>
      <c r="BG139" s="517">
        <f t="shared" si="58"/>
        <v>0</v>
      </c>
      <c r="BH139" s="517">
        <f t="shared" si="59"/>
        <v>0</v>
      </c>
      <c r="BI139" s="517">
        <f t="shared" si="60"/>
        <v>0</v>
      </c>
      <c r="BJ139" s="517">
        <f t="shared" si="61"/>
        <v>0.21111110871994537</v>
      </c>
      <c r="BK139" s="517"/>
      <c r="BL139" s="580">
        <f t="shared" si="47"/>
        <v>0</v>
      </c>
      <c r="BM139" s="580">
        <f t="shared" si="48"/>
        <v>0.84444443487978149</v>
      </c>
      <c r="BN139" s="580">
        <f t="shared" si="49"/>
        <v>0</v>
      </c>
      <c r="BO139" s="580">
        <f t="shared" si="50"/>
        <v>0</v>
      </c>
      <c r="BP139" s="580">
        <f t="shared" si="51"/>
        <v>0</v>
      </c>
      <c r="BQ139" s="580">
        <f t="shared" si="52"/>
        <v>0</v>
      </c>
      <c r="BR139" s="580">
        <f t="shared" si="53"/>
        <v>0</v>
      </c>
      <c r="BS139" s="580">
        <f t="shared" si="54"/>
        <v>0</v>
      </c>
      <c r="BT139" s="525">
        <f t="shared" si="55"/>
        <v>0.58333333333333337</v>
      </c>
      <c r="BU139" s="526" t="str">
        <f t="shared" si="62"/>
        <v>Actos administrativos mediante los cuales se establecen los fallecidos, incobrables, cancelados y revocados, resultado del proceso de depuración</v>
      </c>
      <c r="BV139" s="527">
        <f t="shared" ref="BV139:BV155" si="96">+(Z139+AJ139+(AT139/3))</f>
        <v>32527138</v>
      </c>
      <c r="BW139" s="524"/>
      <c r="BX139" s="524"/>
      <c r="BY139" s="524"/>
      <c r="BZ139" s="524"/>
      <c r="CA139" s="524"/>
      <c r="CB139" s="524"/>
      <c r="CC139" s="524"/>
    </row>
    <row r="140" spans="1:81" s="457" customFormat="1" ht="57" customHeight="1" x14ac:dyDescent="0.25">
      <c r="A140" s="513">
        <v>12000</v>
      </c>
      <c r="B140" s="514" t="s">
        <v>30</v>
      </c>
      <c r="C140" s="515" t="s">
        <v>131</v>
      </c>
      <c r="D140" s="514" t="s">
        <v>153</v>
      </c>
      <c r="E140" s="515" t="s">
        <v>132</v>
      </c>
      <c r="F140" s="514" t="s">
        <v>133</v>
      </c>
      <c r="G140" s="516" t="s">
        <v>124</v>
      </c>
      <c r="H140" s="515">
        <v>4</v>
      </c>
      <c r="I140" s="515" t="s">
        <v>143</v>
      </c>
      <c r="J140" s="514" t="s">
        <v>24</v>
      </c>
      <c r="K140" s="518">
        <v>0</v>
      </c>
      <c r="L140" s="519">
        <v>1</v>
      </c>
      <c r="M140" s="514" t="s">
        <v>51</v>
      </c>
      <c r="N140" s="514" t="s">
        <v>68</v>
      </c>
      <c r="O140" s="514" t="s">
        <v>21</v>
      </c>
      <c r="P140" s="514" t="s">
        <v>36</v>
      </c>
      <c r="Q140" s="514" t="s">
        <v>75</v>
      </c>
      <c r="R140" s="514" t="s">
        <v>631</v>
      </c>
      <c r="S140" s="514" t="s">
        <v>98</v>
      </c>
      <c r="T140" s="555">
        <v>4</v>
      </c>
      <c r="U140" s="520" t="str">
        <f t="shared" si="56"/>
        <v>Reportar el cumplimiento del Plan de Acción de la Dependencia</v>
      </c>
      <c r="V140" s="521">
        <f t="shared" si="57"/>
        <v>0</v>
      </c>
      <c r="W140" s="522" t="s">
        <v>117</v>
      </c>
      <c r="X140" s="547">
        <v>1</v>
      </c>
      <c r="Y140" s="522" t="s">
        <v>24</v>
      </c>
      <c r="Z140" s="518">
        <v>0</v>
      </c>
      <c r="AA140" s="623">
        <v>1</v>
      </c>
      <c r="AB140" s="518">
        <v>0</v>
      </c>
      <c r="AC140" s="523">
        <f t="shared" si="35"/>
        <v>1</v>
      </c>
      <c r="AD140" s="523" t="e">
        <f t="shared" si="36"/>
        <v>#DIV/0!</v>
      </c>
      <c r="AE140" s="523">
        <f t="shared" si="37"/>
        <v>0.25</v>
      </c>
      <c r="AF140" s="523" t="e">
        <f t="shared" si="38"/>
        <v>#DIV/0!</v>
      </c>
      <c r="AG140" s="528" t="s">
        <v>892</v>
      </c>
      <c r="AH140" s="547">
        <v>1</v>
      </c>
      <c r="AI140" s="522" t="s">
        <v>24</v>
      </c>
      <c r="AJ140" s="518">
        <v>0</v>
      </c>
      <c r="AK140" s="524"/>
      <c r="AL140" s="524"/>
      <c r="AM140" s="523">
        <f t="shared" si="39"/>
        <v>0</v>
      </c>
      <c r="AN140" s="523" t="e">
        <f t="shared" si="40"/>
        <v>#DIV/0!</v>
      </c>
      <c r="AO140" s="523">
        <f t="shared" si="41"/>
        <v>0.25</v>
      </c>
      <c r="AP140" s="523" t="e">
        <f t="shared" si="42"/>
        <v>#DIV/0!</v>
      </c>
      <c r="AQ140" s="523"/>
      <c r="AR140" s="547">
        <v>1</v>
      </c>
      <c r="AS140" s="522" t="s">
        <v>24</v>
      </c>
      <c r="AT140" s="518">
        <v>0</v>
      </c>
      <c r="AU140" s="524"/>
      <c r="AV140" s="524"/>
      <c r="AW140" s="523">
        <f t="shared" si="43"/>
        <v>0</v>
      </c>
      <c r="AX140" s="523" t="e">
        <f t="shared" si="44"/>
        <v>#DIV/0!</v>
      </c>
      <c r="AY140" s="523">
        <f t="shared" si="45"/>
        <v>0.25</v>
      </c>
      <c r="AZ140" s="523" t="e">
        <f t="shared" si="46"/>
        <v>#DIV/0!</v>
      </c>
      <c r="BA140" s="523"/>
      <c r="BB140" s="547">
        <v>1</v>
      </c>
      <c r="BC140" s="522" t="s">
        <v>24</v>
      </c>
      <c r="BD140" s="518">
        <v>0</v>
      </c>
      <c r="BE140" s="524"/>
      <c r="BF140" s="524"/>
      <c r="BG140" s="517">
        <f t="shared" si="58"/>
        <v>0</v>
      </c>
      <c r="BH140" s="517" t="e">
        <f t="shared" si="59"/>
        <v>#DIV/0!</v>
      </c>
      <c r="BI140" s="517">
        <f t="shared" si="60"/>
        <v>0.25</v>
      </c>
      <c r="BJ140" s="517" t="e">
        <f t="shared" si="61"/>
        <v>#DIV/0!</v>
      </c>
      <c r="BK140" s="517"/>
      <c r="BL140" s="580">
        <f t="shared" si="47"/>
        <v>1</v>
      </c>
      <c r="BM140" s="580" t="str">
        <f t="shared" si="48"/>
        <v>No Prog ni Ejec</v>
      </c>
      <c r="BN140" s="580">
        <f t="shared" si="49"/>
        <v>0</v>
      </c>
      <c r="BO140" s="580" t="str">
        <f t="shared" si="50"/>
        <v>No Prog ni Ejec</v>
      </c>
      <c r="BP140" s="580">
        <f t="shared" si="51"/>
        <v>0</v>
      </c>
      <c r="BQ140" s="580" t="str">
        <f t="shared" si="52"/>
        <v>No Prog ni Ejec</v>
      </c>
      <c r="BR140" s="580">
        <f t="shared" si="53"/>
        <v>0</v>
      </c>
      <c r="BS140" s="580" t="str">
        <f t="shared" si="54"/>
        <v>No Prog ni Ejec</v>
      </c>
      <c r="BT140" s="553">
        <f t="shared" si="55"/>
        <v>2.3333333333333335</v>
      </c>
      <c r="BU140" s="526" t="str">
        <f t="shared" si="62"/>
        <v>Reportar el cumplimiento del Plan de Acción de la Dependencia</v>
      </c>
      <c r="BV140" s="527">
        <f t="shared" si="96"/>
        <v>0</v>
      </c>
      <c r="BW140" s="524"/>
      <c r="BX140" s="524"/>
      <c r="BY140" s="524"/>
      <c r="BZ140" s="524"/>
      <c r="CA140" s="524"/>
      <c r="CB140" s="524"/>
      <c r="CC140" s="524"/>
    </row>
    <row r="141" spans="1:81" s="457" customFormat="1" ht="99.75" customHeight="1" x14ac:dyDescent="0.25">
      <c r="A141" s="513">
        <v>12000</v>
      </c>
      <c r="B141" s="514" t="s">
        <v>30</v>
      </c>
      <c r="C141" s="515" t="s">
        <v>355</v>
      </c>
      <c r="D141" s="514" t="s">
        <v>256</v>
      </c>
      <c r="E141" s="515" t="s">
        <v>356</v>
      </c>
      <c r="F141" s="514" t="s">
        <v>134</v>
      </c>
      <c r="G141" s="516" t="s">
        <v>124</v>
      </c>
      <c r="H141" s="515">
        <v>4</v>
      </c>
      <c r="I141" s="515" t="s">
        <v>539</v>
      </c>
      <c r="J141" s="514" t="s">
        <v>683</v>
      </c>
      <c r="K141" s="518">
        <v>0</v>
      </c>
      <c r="L141" s="519">
        <v>1</v>
      </c>
      <c r="M141" s="514" t="s">
        <v>51</v>
      </c>
      <c r="N141" s="514" t="s">
        <v>68</v>
      </c>
      <c r="O141" s="514" t="s">
        <v>21</v>
      </c>
      <c r="P141" s="514" t="s">
        <v>36</v>
      </c>
      <c r="Q141" s="514" t="s">
        <v>75</v>
      </c>
      <c r="R141" s="514" t="s">
        <v>628</v>
      </c>
      <c r="S141" s="514" t="s">
        <v>98</v>
      </c>
      <c r="T141" s="555">
        <v>4</v>
      </c>
      <c r="U141" s="520" t="str">
        <f t="shared" si="56"/>
        <v xml:space="preserve">Reportar el cumplimiento de la ejecución del Plan de Acción </v>
      </c>
      <c r="V141" s="521">
        <f t="shared" si="57"/>
        <v>0</v>
      </c>
      <c r="W141" s="522" t="s">
        <v>117</v>
      </c>
      <c r="X141" s="547">
        <v>1</v>
      </c>
      <c r="Y141" s="522" t="s">
        <v>683</v>
      </c>
      <c r="Z141" s="518">
        <v>0</v>
      </c>
      <c r="AA141" s="623">
        <v>1</v>
      </c>
      <c r="AB141" s="518">
        <v>0</v>
      </c>
      <c r="AC141" s="523">
        <f>+(AA141/X141)</f>
        <v>1</v>
      </c>
      <c r="AD141" s="523" t="e">
        <f t="shared" si="36"/>
        <v>#DIV/0!</v>
      </c>
      <c r="AE141" s="523">
        <f t="shared" si="37"/>
        <v>0.25</v>
      </c>
      <c r="AF141" s="523" t="e">
        <f t="shared" si="38"/>
        <v>#DIV/0!</v>
      </c>
      <c r="AG141" s="528" t="s">
        <v>1036</v>
      </c>
      <c r="AH141" s="547">
        <v>1</v>
      </c>
      <c r="AI141" s="522" t="s">
        <v>683</v>
      </c>
      <c r="AJ141" s="518">
        <v>0</v>
      </c>
      <c r="AK141" s="524"/>
      <c r="AL141" s="524"/>
      <c r="AM141" s="523">
        <f t="shared" si="39"/>
        <v>0</v>
      </c>
      <c r="AN141" s="523" t="e">
        <f t="shared" si="40"/>
        <v>#DIV/0!</v>
      </c>
      <c r="AO141" s="523">
        <f t="shared" si="41"/>
        <v>0.25</v>
      </c>
      <c r="AP141" s="523" t="e">
        <f t="shared" si="42"/>
        <v>#DIV/0!</v>
      </c>
      <c r="AQ141" s="523"/>
      <c r="AR141" s="547">
        <v>1</v>
      </c>
      <c r="AS141" s="522" t="s">
        <v>683</v>
      </c>
      <c r="AT141" s="518">
        <v>0</v>
      </c>
      <c r="AU141" s="524"/>
      <c r="AV141" s="524"/>
      <c r="AW141" s="523">
        <f t="shared" si="43"/>
        <v>0</v>
      </c>
      <c r="AX141" s="523" t="e">
        <f t="shared" si="44"/>
        <v>#DIV/0!</v>
      </c>
      <c r="AY141" s="523">
        <f t="shared" si="45"/>
        <v>0.25</v>
      </c>
      <c r="AZ141" s="523" t="e">
        <f t="shared" si="46"/>
        <v>#DIV/0!</v>
      </c>
      <c r="BA141" s="523"/>
      <c r="BB141" s="547">
        <v>1</v>
      </c>
      <c r="BC141" s="522" t="s">
        <v>683</v>
      </c>
      <c r="BD141" s="518">
        <v>0</v>
      </c>
      <c r="BE141" s="524"/>
      <c r="BF141" s="524"/>
      <c r="BG141" s="517">
        <f t="shared" si="58"/>
        <v>0</v>
      </c>
      <c r="BH141" s="517" t="e">
        <f t="shared" si="59"/>
        <v>#DIV/0!</v>
      </c>
      <c r="BI141" s="517">
        <f t="shared" si="60"/>
        <v>0.25</v>
      </c>
      <c r="BJ141" s="517" t="e">
        <f t="shared" si="61"/>
        <v>#DIV/0!</v>
      </c>
      <c r="BK141" s="517"/>
      <c r="BL141" s="580">
        <f t="shared" si="47"/>
        <v>1</v>
      </c>
      <c r="BM141" s="580" t="str">
        <f t="shared" si="48"/>
        <v>No Prog ni Ejec</v>
      </c>
      <c r="BN141" s="580">
        <f t="shared" si="49"/>
        <v>0</v>
      </c>
      <c r="BO141" s="580" t="str">
        <f t="shared" si="50"/>
        <v>No Prog ni Ejec</v>
      </c>
      <c r="BP141" s="580">
        <f t="shared" si="51"/>
        <v>0</v>
      </c>
      <c r="BQ141" s="580" t="str">
        <f t="shared" si="52"/>
        <v>No Prog ni Ejec</v>
      </c>
      <c r="BR141" s="580">
        <f t="shared" si="53"/>
        <v>0</v>
      </c>
      <c r="BS141" s="580" t="str">
        <f t="shared" si="54"/>
        <v>No Prog ni Ejec</v>
      </c>
      <c r="BT141" s="553">
        <f t="shared" ref="BT141:BT155" si="97">+(X141+AH141+(AR141/3))</f>
        <v>2.3333333333333335</v>
      </c>
      <c r="BU141" s="526" t="str">
        <f t="shared" si="62"/>
        <v xml:space="preserve">Reportar el cumplimiento de la ejecución del Plan de Acción </v>
      </c>
      <c r="BV141" s="527">
        <f t="shared" si="96"/>
        <v>0</v>
      </c>
      <c r="BW141" s="524"/>
      <c r="BX141" s="524"/>
      <c r="BY141" s="524"/>
      <c r="BZ141" s="524"/>
      <c r="CA141" s="524"/>
      <c r="CB141" s="524"/>
      <c r="CC141" s="524"/>
    </row>
    <row r="142" spans="1:81" s="457" customFormat="1" ht="199.5" customHeight="1" x14ac:dyDescent="0.25">
      <c r="A142" s="513">
        <v>12000</v>
      </c>
      <c r="B142" s="514" t="s">
        <v>30</v>
      </c>
      <c r="C142" s="515" t="s">
        <v>355</v>
      </c>
      <c r="D142" s="514" t="s">
        <v>256</v>
      </c>
      <c r="E142" s="515" t="s">
        <v>540</v>
      </c>
      <c r="F142" s="514" t="s">
        <v>136</v>
      </c>
      <c r="G142" s="516" t="s">
        <v>123</v>
      </c>
      <c r="H142" s="517">
        <v>1</v>
      </c>
      <c r="I142" s="515" t="s">
        <v>541</v>
      </c>
      <c r="J142" s="514" t="s">
        <v>135</v>
      </c>
      <c r="K142" s="518">
        <v>61642068</v>
      </c>
      <c r="L142" s="519">
        <v>1</v>
      </c>
      <c r="M142" s="514" t="s">
        <v>51</v>
      </c>
      <c r="N142" s="514" t="s">
        <v>68</v>
      </c>
      <c r="O142" s="514" t="s">
        <v>21</v>
      </c>
      <c r="P142" s="514" t="s">
        <v>36</v>
      </c>
      <c r="Q142" s="514" t="s">
        <v>75</v>
      </c>
      <c r="R142" s="514" t="s">
        <v>182</v>
      </c>
      <c r="S142" s="514" t="s">
        <v>99</v>
      </c>
      <c r="T142" s="517">
        <v>1</v>
      </c>
      <c r="U142" s="520" t="str">
        <f t="shared" si="56"/>
        <v>Asesorar y apoyar en la implementación de MIPG</v>
      </c>
      <c r="V142" s="521">
        <f t="shared" si="57"/>
        <v>61642068</v>
      </c>
      <c r="W142" s="522" t="s">
        <v>114</v>
      </c>
      <c r="X142" s="517">
        <v>0.25</v>
      </c>
      <c r="Y142" s="522" t="s">
        <v>135</v>
      </c>
      <c r="Z142" s="518">
        <v>15410517</v>
      </c>
      <c r="AA142" s="577">
        <f>(AB142/Z142)*0.25</f>
        <v>0.1361111051627924</v>
      </c>
      <c r="AB142" s="518">
        <f>3253331+5136839</f>
        <v>8390170</v>
      </c>
      <c r="AC142" s="523">
        <f t="shared" si="35"/>
        <v>0.5444444206511696</v>
      </c>
      <c r="AD142" s="523">
        <f t="shared" si="36"/>
        <v>0.5444444206511696</v>
      </c>
      <c r="AE142" s="523">
        <f t="shared" si="37"/>
        <v>0.1361111051627924</v>
      </c>
      <c r="AF142" s="523">
        <f t="shared" si="38"/>
        <v>0.1361111051627924</v>
      </c>
      <c r="AG142" s="528" t="s">
        <v>1037</v>
      </c>
      <c r="AH142" s="517">
        <v>0.25</v>
      </c>
      <c r="AI142" s="522" t="s">
        <v>135</v>
      </c>
      <c r="AJ142" s="518">
        <v>15410517</v>
      </c>
      <c r="AK142" s="524"/>
      <c r="AL142" s="524"/>
      <c r="AM142" s="523">
        <f t="shared" si="39"/>
        <v>0</v>
      </c>
      <c r="AN142" s="523">
        <f t="shared" si="40"/>
        <v>0</v>
      </c>
      <c r="AO142" s="523">
        <f t="shared" si="41"/>
        <v>0.1361111051627924</v>
      </c>
      <c r="AP142" s="523">
        <f t="shared" si="42"/>
        <v>0.1361111051627924</v>
      </c>
      <c r="AQ142" s="523"/>
      <c r="AR142" s="517">
        <v>0.25</v>
      </c>
      <c r="AS142" s="522" t="s">
        <v>135</v>
      </c>
      <c r="AT142" s="518">
        <v>15410517</v>
      </c>
      <c r="AU142" s="524"/>
      <c r="AV142" s="524"/>
      <c r="AW142" s="523">
        <f t="shared" si="43"/>
        <v>0</v>
      </c>
      <c r="AX142" s="523">
        <f t="shared" si="44"/>
        <v>0</v>
      </c>
      <c r="AY142" s="523">
        <f t="shared" si="45"/>
        <v>0.1361111051627924</v>
      </c>
      <c r="AZ142" s="523">
        <f t="shared" si="46"/>
        <v>0.1361111051627924</v>
      </c>
      <c r="BA142" s="523"/>
      <c r="BB142" s="517">
        <v>0.25</v>
      </c>
      <c r="BC142" s="522" t="s">
        <v>135</v>
      </c>
      <c r="BD142" s="518">
        <v>15410517</v>
      </c>
      <c r="BE142" s="524"/>
      <c r="BF142" s="524"/>
      <c r="BG142" s="517">
        <f t="shared" si="58"/>
        <v>0</v>
      </c>
      <c r="BH142" s="517">
        <f t="shared" si="59"/>
        <v>0</v>
      </c>
      <c r="BI142" s="517">
        <f t="shared" si="60"/>
        <v>0.1361111051627924</v>
      </c>
      <c r="BJ142" s="517">
        <f t="shared" si="61"/>
        <v>0.1361111051627924</v>
      </c>
      <c r="BK142" s="517"/>
      <c r="BL142" s="624">
        <f t="shared" si="47"/>
        <v>0.5444444206511696</v>
      </c>
      <c r="BM142" s="580">
        <f t="shared" si="48"/>
        <v>0.5444444206511696</v>
      </c>
      <c r="BN142" s="624">
        <f t="shared" si="49"/>
        <v>0</v>
      </c>
      <c r="BO142" s="580">
        <f t="shared" si="50"/>
        <v>0</v>
      </c>
      <c r="BP142" s="624">
        <f t="shared" si="51"/>
        <v>0</v>
      </c>
      <c r="BQ142" s="580">
        <f t="shared" si="52"/>
        <v>0</v>
      </c>
      <c r="BR142" s="624">
        <f t="shared" si="53"/>
        <v>0</v>
      </c>
      <c r="BS142" s="580">
        <f t="shared" si="54"/>
        <v>0</v>
      </c>
      <c r="BT142" s="525">
        <f t="shared" si="97"/>
        <v>0.58333333333333337</v>
      </c>
      <c r="BU142" s="526" t="str">
        <f t="shared" si="62"/>
        <v>Asesorar y apoyar en la implementación de MIPG</v>
      </c>
      <c r="BV142" s="527">
        <f t="shared" si="96"/>
        <v>35957873</v>
      </c>
      <c r="BW142" s="524"/>
      <c r="BX142" s="524"/>
      <c r="BY142" s="524"/>
      <c r="BZ142" s="524"/>
      <c r="CA142" s="524"/>
      <c r="CB142" s="524"/>
      <c r="CC142" s="524"/>
    </row>
    <row r="143" spans="1:81" s="457" customFormat="1" ht="99.75" customHeight="1" x14ac:dyDescent="0.25">
      <c r="A143" s="513">
        <v>12000</v>
      </c>
      <c r="B143" s="514" t="s">
        <v>30</v>
      </c>
      <c r="C143" s="515" t="s">
        <v>355</v>
      </c>
      <c r="D143" s="514" t="s">
        <v>256</v>
      </c>
      <c r="E143" s="515" t="s">
        <v>542</v>
      </c>
      <c r="F143" s="514" t="s">
        <v>139</v>
      </c>
      <c r="G143" s="516" t="s">
        <v>124</v>
      </c>
      <c r="H143" s="515">
        <v>1</v>
      </c>
      <c r="I143" s="515" t="s">
        <v>543</v>
      </c>
      <c r="J143" s="514" t="s">
        <v>138</v>
      </c>
      <c r="K143" s="518">
        <v>0</v>
      </c>
      <c r="L143" s="519">
        <v>1</v>
      </c>
      <c r="M143" s="514" t="s">
        <v>48</v>
      </c>
      <c r="N143" s="514" t="s">
        <v>62</v>
      </c>
      <c r="O143" s="514" t="s">
        <v>21</v>
      </c>
      <c r="P143" s="514" t="s">
        <v>23</v>
      </c>
      <c r="Q143" s="514" t="s">
        <v>75</v>
      </c>
      <c r="R143" s="514" t="s">
        <v>628</v>
      </c>
      <c r="S143" s="514" t="s">
        <v>98</v>
      </c>
      <c r="T143" s="555">
        <v>1</v>
      </c>
      <c r="U143" s="520" t="str">
        <f t="shared" si="56"/>
        <v>Elaboración del Informe de Rendición de Cuentas al Congreso de la República 2017-2018</v>
      </c>
      <c r="V143" s="521">
        <f t="shared" si="57"/>
        <v>0</v>
      </c>
      <c r="W143" s="522" t="s">
        <v>117</v>
      </c>
      <c r="X143" s="547">
        <v>0</v>
      </c>
      <c r="Y143" s="522" t="s">
        <v>138</v>
      </c>
      <c r="Z143" s="518">
        <v>0</v>
      </c>
      <c r="AA143" s="623">
        <v>0</v>
      </c>
      <c r="AB143" s="518">
        <v>0</v>
      </c>
      <c r="AC143" s="523" t="e">
        <f t="shared" ref="AC143:AC154" si="98">+(AA143/X143)</f>
        <v>#DIV/0!</v>
      </c>
      <c r="AD143" s="523" t="e">
        <f t="shared" ref="AD143" si="99">+(AB143/Z143)</f>
        <v>#DIV/0!</v>
      </c>
      <c r="AE143" s="523">
        <f t="shared" ref="AE143" si="100">+(AA143/T143)</f>
        <v>0</v>
      </c>
      <c r="AF143" s="523" t="e">
        <f t="shared" ref="AF143" si="101">+(AB143/V143)</f>
        <v>#DIV/0!</v>
      </c>
      <c r="AG143" s="528" t="s">
        <v>1038</v>
      </c>
      <c r="AH143" s="547">
        <v>0</v>
      </c>
      <c r="AI143" s="522" t="s">
        <v>138</v>
      </c>
      <c r="AJ143" s="518">
        <v>0</v>
      </c>
      <c r="AK143" s="524"/>
      <c r="AL143" s="524"/>
      <c r="AM143" s="523" t="e">
        <f t="shared" ref="AM143" si="102">+(AK143/AH143)</f>
        <v>#DIV/0!</v>
      </c>
      <c r="AN143" s="523" t="e">
        <f t="shared" ref="AN143" si="103">+(AL143/AJ143)</f>
        <v>#DIV/0!</v>
      </c>
      <c r="AO143" s="523">
        <f t="shared" ref="AO143" si="104">+(AK143+AA143)/T143</f>
        <v>0</v>
      </c>
      <c r="AP143" s="523" t="e">
        <f t="shared" ref="AP143" si="105">+(AL143+AB143)/V143</f>
        <v>#DIV/0!</v>
      </c>
      <c r="AQ143" s="523"/>
      <c r="AR143" s="547">
        <v>1</v>
      </c>
      <c r="AS143" s="522" t="s">
        <v>138</v>
      </c>
      <c r="AT143" s="518">
        <v>0</v>
      </c>
      <c r="AU143" s="524"/>
      <c r="AV143" s="524"/>
      <c r="AW143" s="523">
        <f t="shared" ref="AW143" si="106">+(AU143/AR143)</f>
        <v>0</v>
      </c>
      <c r="AX143" s="523" t="e">
        <f t="shared" ref="AX143" si="107">+(AV143/AT143)</f>
        <v>#DIV/0!</v>
      </c>
      <c r="AY143" s="523">
        <f t="shared" ref="AY143" si="108">+(AK143+AA143+AU143)/T143</f>
        <v>0</v>
      </c>
      <c r="AZ143" s="523" t="e">
        <f t="shared" ref="AZ143" si="109">+(AL143+AB143+AV143)/V143</f>
        <v>#DIV/0!</v>
      </c>
      <c r="BA143" s="523"/>
      <c r="BB143" s="547">
        <v>0</v>
      </c>
      <c r="BC143" s="522" t="s">
        <v>138</v>
      </c>
      <c r="BD143" s="518">
        <v>0</v>
      </c>
      <c r="BE143" s="524"/>
      <c r="BF143" s="524"/>
      <c r="BG143" s="517" t="e">
        <f t="shared" si="58"/>
        <v>#DIV/0!</v>
      </c>
      <c r="BH143" s="517" t="e">
        <f t="shared" si="59"/>
        <v>#DIV/0!</v>
      </c>
      <c r="BI143" s="517">
        <f t="shared" si="60"/>
        <v>0</v>
      </c>
      <c r="BJ143" s="517" t="e">
        <f t="shared" si="61"/>
        <v>#DIV/0!</v>
      </c>
      <c r="BK143" s="517"/>
      <c r="BL143" s="580" t="str">
        <f t="shared" ref="BL143:BL154" si="110">IF(AND(X143=0,AA143=0),"No Prog ni Ejec",IF(X143=0,CONCATENATE("No Prog, Ejec=  ",AA143),AA143/X143))</f>
        <v>No Prog ni Ejec</v>
      </c>
      <c r="BM143" s="580" t="str">
        <f t="shared" ref="BM143:BM154" si="111">IF(AND(Z143=0,AB143=0),"No Prog ni Ejec",IF(Z143=0,CONCATENATE("No Prog, Ejec=  ",AB143),AB143/Z143))</f>
        <v>No Prog ni Ejec</v>
      </c>
      <c r="BN143" s="580" t="str">
        <f t="shared" ref="BN143:BN154" si="112">IF(AND(AH143=0,AK143=0),"No Prog ni Ejec",IF(AH143=0,CONCATENATE("No Prog, Ejec=  ",AK143),AK143/AH143))</f>
        <v>No Prog ni Ejec</v>
      </c>
      <c r="BO143" s="580" t="str">
        <f t="shared" ref="BO143:BO154" si="113">IF(AND(AJ143=0,AL143=0),"No Prog ni Ejec",IF(AJ143=0,CONCATENATE("No Prog, Ejec=  ",AL143),AL143/AJ143))</f>
        <v>No Prog ni Ejec</v>
      </c>
      <c r="BP143" s="580">
        <f t="shared" ref="BP143:BP154" si="114">IF(AND(AR143=0,AU143=0),"No Prog ni Ejec",IF(AR143=0,CONCATENATE("No Prog, Ejec=  ",AU143),AU143/AR143))</f>
        <v>0</v>
      </c>
      <c r="BQ143" s="580" t="str">
        <f t="shared" ref="BQ143:BQ154" si="115">IF(AND(AT143=0,AV143=0),"No Prog ni Ejec",IF(AT143=0,CONCATENATE("No Prog, Ejec=  ",AV143),AV143/AT143))</f>
        <v>No Prog ni Ejec</v>
      </c>
      <c r="BR143" s="580" t="str">
        <f t="shared" ref="BR143:BR154" si="116">IF(AND(BB143=0,BE143=0),"No Prog ni Ejec",IF(BB143=0,CONCATENATE("No Prog, Ejec=  ",BE143),BE143/BB143))</f>
        <v>No Prog ni Ejec</v>
      </c>
      <c r="BS143" s="580" t="str">
        <f t="shared" ref="BS143:BS154" si="117">IF(AND(BD143=0,BF143=0),"No Prog ni Ejec",IF(BD143=0,CONCATENATE("No Prog, Ejec=  ",BF143),BF143/BD143))</f>
        <v>No Prog ni Ejec</v>
      </c>
      <c r="BT143" s="553">
        <f t="shared" si="97"/>
        <v>0.33333333333333331</v>
      </c>
      <c r="BU143" s="526" t="str">
        <f t="shared" si="62"/>
        <v>Elaboración del Informe de Rendición de Cuentas al Congreso de la República 2017-2018</v>
      </c>
      <c r="BV143" s="527">
        <f t="shared" si="96"/>
        <v>0</v>
      </c>
      <c r="BW143" s="524"/>
      <c r="BX143" s="524"/>
      <c r="BY143" s="524"/>
      <c r="BZ143" s="524"/>
      <c r="CA143" s="524"/>
      <c r="CB143" s="524"/>
      <c r="CC143" s="524"/>
    </row>
    <row r="144" spans="1:81" s="457" customFormat="1" ht="114.75" x14ac:dyDescent="0.25">
      <c r="A144" s="513">
        <v>11700</v>
      </c>
      <c r="B144" s="514" t="s">
        <v>29</v>
      </c>
      <c r="C144" s="515" t="s">
        <v>328</v>
      </c>
      <c r="D144" s="514" t="s">
        <v>256</v>
      </c>
      <c r="E144" s="515" t="s">
        <v>665</v>
      </c>
      <c r="F144" s="514" t="s">
        <v>667</v>
      </c>
      <c r="G144" s="516" t="s">
        <v>123</v>
      </c>
      <c r="H144" s="517">
        <v>1</v>
      </c>
      <c r="I144" s="515" t="s">
        <v>666</v>
      </c>
      <c r="J144" s="514" t="s">
        <v>471</v>
      </c>
      <c r="K144" s="518">
        <v>0</v>
      </c>
      <c r="L144" s="517">
        <v>1</v>
      </c>
      <c r="M144" s="514" t="s">
        <v>45</v>
      </c>
      <c r="N144" s="514" t="s">
        <v>54</v>
      </c>
      <c r="O144" s="514" t="s">
        <v>37</v>
      </c>
      <c r="P144" s="514" t="s">
        <v>38</v>
      </c>
      <c r="Q144" s="514" t="s">
        <v>218</v>
      </c>
      <c r="R144" s="514" t="s">
        <v>379</v>
      </c>
      <c r="S144" s="514" t="s">
        <v>104</v>
      </c>
      <c r="T144" s="517">
        <v>1</v>
      </c>
      <c r="U144" s="520" t="str">
        <f t="shared" ref="U144:U154" si="118">+J144</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V144" s="521">
        <f t="shared" ref="V144:V154" si="119">+K144</f>
        <v>0</v>
      </c>
      <c r="W144" s="522" t="s">
        <v>114</v>
      </c>
      <c r="X144" s="517">
        <v>0.25</v>
      </c>
      <c r="Y144" s="522" t="s">
        <v>471</v>
      </c>
      <c r="Z144" s="518">
        <v>0</v>
      </c>
      <c r="AA144" s="525">
        <v>0</v>
      </c>
      <c r="AB144" s="527">
        <v>0</v>
      </c>
      <c r="AC144" s="523">
        <f t="shared" si="98"/>
        <v>0</v>
      </c>
      <c r="AD144" s="517" t="e">
        <f t="shared" ref="AD144:AD154" si="120">+(AB144/Z144)</f>
        <v>#DIV/0!</v>
      </c>
      <c r="AE144" s="517">
        <f t="shared" ref="AE144:AE154" si="121">+(AA144/T144)</f>
        <v>0</v>
      </c>
      <c r="AF144" s="517" t="e">
        <f t="shared" ref="AF144:AF154" si="122">+(AB144/V144)</f>
        <v>#DIV/0!</v>
      </c>
      <c r="AG144" s="528" t="s">
        <v>1013</v>
      </c>
      <c r="AH144" s="517">
        <v>0.25</v>
      </c>
      <c r="AI144" s="522" t="s">
        <v>471</v>
      </c>
      <c r="AJ144" s="518">
        <v>0</v>
      </c>
      <c r="AK144" s="524"/>
      <c r="AL144" s="524"/>
      <c r="AM144" s="517">
        <f t="shared" ref="AM144:AM154" si="123">+(AK144/AH144)</f>
        <v>0</v>
      </c>
      <c r="AN144" s="517" t="e">
        <f t="shared" ref="AN144:AN154" si="124">+(AL144/AJ144)</f>
        <v>#DIV/0!</v>
      </c>
      <c r="AO144" s="517">
        <f t="shared" ref="AO144:AO154" si="125">+(AK144+AA144)/T144</f>
        <v>0</v>
      </c>
      <c r="AP144" s="517" t="e">
        <f t="shared" ref="AP144:AP154" si="126">+(AL144+AB144)/V144</f>
        <v>#DIV/0!</v>
      </c>
      <c r="AQ144" s="517"/>
      <c r="AR144" s="517">
        <v>0.25</v>
      </c>
      <c r="AS144" s="522" t="s">
        <v>471</v>
      </c>
      <c r="AT144" s="518">
        <v>0</v>
      </c>
      <c r="AU144" s="524"/>
      <c r="AV144" s="524"/>
      <c r="AW144" s="517">
        <f t="shared" ref="AW144:AW154" si="127">+(AU144/AR144)</f>
        <v>0</v>
      </c>
      <c r="AX144" s="517" t="e">
        <f t="shared" ref="AX144:AX154" si="128">+(AV144/AT144)</f>
        <v>#DIV/0!</v>
      </c>
      <c r="AY144" s="517">
        <f t="shared" ref="AY144:AY154" si="129">+(AK144+AA144+AU144)/T144</f>
        <v>0</v>
      </c>
      <c r="AZ144" s="517" t="e">
        <f t="shared" ref="AZ144:AZ154" si="130">+(AL144+AB144+AV144)/V144</f>
        <v>#DIV/0!</v>
      </c>
      <c r="BA144" s="517"/>
      <c r="BB144" s="517">
        <v>0.25</v>
      </c>
      <c r="BC144" s="522" t="s">
        <v>471</v>
      </c>
      <c r="BD144" s="518">
        <v>0</v>
      </c>
      <c r="BE144" s="524"/>
      <c r="BF144" s="524"/>
      <c r="BG144" s="517">
        <f t="shared" ref="BG144:BG154" si="131">+(BE144/BB144)</f>
        <v>0</v>
      </c>
      <c r="BH144" s="517" t="e">
        <f t="shared" ref="BH144:BH154" si="132">+(BF144/BD144)</f>
        <v>#DIV/0!</v>
      </c>
      <c r="BI144" s="517">
        <f t="shared" ref="BI144:BI154" si="133">+(AK144+AA144+AU144+BE144)/T144</f>
        <v>0</v>
      </c>
      <c r="BJ144" s="517" t="e">
        <f t="shared" ref="BJ144:BJ154" si="134">+(AL144+AB144+AV144+BF144)/V144</f>
        <v>#DIV/0!</v>
      </c>
      <c r="BK144" s="517"/>
      <c r="BL144" s="580">
        <f t="shared" si="110"/>
        <v>0</v>
      </c>
      <c r="BM144" s="580" t="str">
        <f t="shared" si="111"/>
        <v>No Prog ni Ejec</v>
      </c>
      <c r="BN144" s="580">
        <f t="shared" si="112"/>
        <v>0</v>
      </c>
      <c r="BO144" s="580" t="str">
        <f t="shared" si="113"/>
        <v>No Prog ni Ejec</v>
      </c>
      <c r="BP144" s="580">
        <f t="shared" si="114"/>
        <v>0</v>
      </c>
      <c r="BQ144" s="580" t="str">
        <f t="shared" si="115"/>
        <v>No Prog ni Ejec</v>
      </c>
      <c r="BR144" s="580">
        <f t="shared" si="116"/>
        <v>0</v>
      </c>
      <c r="BS144" s="580" t="str">
        <f t="shared" si="117"/>
        <v>No Prog ni Ejec</v>
      </c>
      <c r="BT144" s="525">
        <f t="shared" si="97"/>
        <v>0.58333333333333337</v>
      </c>
      <c r="BU144" s="526" t="str">
        <f t="shared" si="62"/>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V144" s="527">
        <f t="shared" si="96"/>
        <v>0</v>
      </c>
      <c r="BW144" s="524"/>
      <c r="BX144" s="524"/>
      <c r="BY144" s="524"/>
      <c r="BZ144" s="524"/>
      <c r="CA144" s="524"/>
      <c r="CB144" s="524"/>
      <c r="CC144" s="524"/>
    </row>
    <row r="145" spans="1:81" s="457" customFormat="1" ht="89.25" x14ac:dyDescent="0.25">
      <c r="A145" s="513">
        <v>11700</v>
      </c>
      <c r="B145" s="514" t="s">
        <v>29</v>
      </c>
      <c r="C145" s="515" t="s">
        <v>328</v>
      </c>
      <c r="D145" s="514" t="s">
        <v>256</v>
      </c>
      <c r="E145" s="515" t="s">
        <v>669</v>
      </c>
      <c r="F145" s="514" t="s">
        <v>671</v>
      </c>
      <c r="G145" s="516" t="s">
        <v>123</v>
      </c>
      <c r="H145" s="517">
        <v>1</v>
      </c>
      <c r="I145" s="515" t="s">
        <v>668</v>
      </c>
      <c r="J145" s="514" t="s">
        <v>472</v>
      </c>
      <c r="K145" s="518">
        <v>17000000</v>
      </c>
      <c r="L145" s="517">
        <v>1</v>
      </c>
      <c r="M145" s="514" t="s">
        <v>45</v>
      </c>
      <c r="N145" s="514" t="s">
        <v>54</v>
      </c>
      <c r="O145" s="514" t="s">
        <v>37</v>
      </c>
      <c r="P145" s="514" t="s">
        <v>38</v>
      </c>
      <c r="Q145" s="514" t="s">
        <v>218</v>
      </c>
      <c r="R145" s="514" t="s">
        <v>379</v>
      </c>
      <c r="S145" s="514" t="s">
        <v>104</v>
      </c>
      <c r="T145" s="517">
        <v>1</v>
      </c>
      <c r="U145" s="520" t="str">
        <f t="shared" si="118"/>
        <v xml:space="preserve">Realizar el estudio de seguridad, visita domiciliaria y verificación de la información de la Hoja de Vida y antecedentes financieros de los funcionarios de la entidad. </v>
      </c>
      <c r="V145" s="521">
        <f t="shared" si="119"/>
        <v>17000000</v>
      </c>
      <c r="W145" s="522" t="s">
        <v>114</v>
      </c>
      <c r="X145" s="517">
        <v>0.25</v>
      </c>
      <c r="Y145" s="522" t="s">
        <v>472</v>
      </c>
      <c r="Z145" s="518">
        <v>4250000</v>
      </c>
      <c r="AA145" s="618">
        <f>+AB145/V145</f>
        <v>7.8399999999999997E-2</v>
      </c>
      <c r="AB145" s="571">
        <v>1332800</v>
      </c>
      <c r="AC145" s="523">
        <f t="shared" si="98"/>
        <v>0.31359999999999999</v>
      </c>
      <c r="AD145" s="517">
        <f t="shared" si="120"/>
        <v>0.31359999999999999</v>
      </c>
      <c r="AE145" s="517">
        <f t="shared" si="121"/>
        <v>7.8399999999999997E-2</v>
      </c>
      <c r="AF145" s="517">
        <f t="shared" si="122"/>
        <v>7.8399999999999997E-2</v>
      </c>
      <c r="AG145" s="528" t="s">
        <v>906</v>
      </c>
      <c r="AH145" s="517">
        <v>0.25</v>
      </c>
      <c r="AI145" s="522" t="s">
        <v>472</v>
      </c>
      <c r="AJ145" s="518">
        <v>4250000</v>
      </c>
      <c r="AK145" s="524"/>
      <c r="AL145" s="524"/>
      <c r="AM145" s="517">
        <f t="shared" si="123"/>
        <v>0</v>
      </c>
      <c r="AN145" s="517">
        <f t="shared" si="124"/>
        <v>0</v>
      </c>
      <c r="AO145" s="517">
        <f t="shared" si="125"/>
        <v>7.8399999999999997E-2</v>
      </c>
      <c r="AP145" s="517">
        <f t="shared" si="126"/>
        <v>7.8399999999999997E-2</v>
      </c>
      <c r="AQ145" s="517"/>
      <c r="AR145" s="517">
        <v>0.25</v>
      </c>
      <c r="AS145" s="522" t="s">
        <v>472</v>
      </c>
      <c r="AT145" s="518">
        <v>4250000</v>
      </c>
      <c r="AU145" s="516"/>
      <c r="AV145" s="571"/>
      <c r="AW145" s="517">
        <f t="shared" si="127"/>
        <v>0</v>
      </c>
      <c r="AX145" s="517">
        <f t="shared" si="128"/>
        <v>0</v>
      </c>
      <c r="AY145" s="517">
        <f t="shared" si="129"/>
        <v>7.8399999999999997E-2</v>
      </c>
      <c r="AZ145" s="517">
        <f t="shared" si="130"/>
        <v>7.8399999999999997E-2</v>
      </c>
      <c r="BA145" s="517"/>
      <c r="BB145" s="517">
        <v>0.25</v>
      </c>
      <c r="BC145" s="522" t="s">
        <v>472</v>
      </c>
      <c r="BD145" s="518">
        <v>4250000</v>
      </c>
      <c r="BE145" s="524"/>
      <c r="BF145" s="524"/>
      <c r="BG145" s="517">
        <f t="shared" si="131"/>
        <v>0</v>
      </c>
      <c r="BH145" s="517">
        <f t="shared" si="132"/>
        <v>0</v>
      </c>
      <c r="BI145" s="517">
        <f t="shared" si="133"/>
        <v>7.8399999999999997E-2</v>
      </c>
      <c r="BJ145" s="517">
        <f t="shared" si="134"/>
        <v>7.8399999999999997E-2</v>
      </c>
      <c r="BK145" s="517"/>
      <c r="BL145" s="580">
        <f t="shared" si="110"/>
        <v>0.31359999999999999</v>
      </c>
      <c r="BM145" s="580">
        <f t="shared" si="111"/>
        <v>0.31359999999999999</v>
      </c>
      <c r="BN145" s="580">
        <f t="shared" si="112"/>
        <v>0</v>
      </c>
      <c r="BO145" s="580">
        <f t="shared" si="113"/>
        <v>0</v>
      </c>
      <c r="BP145" s="580">
        <f t="shared" si="114"/>
        <v>0</v>
      </c>
      <c r="BQ145" s="580">
        <f t="shared" si="115"/>
        <v>0</v>
      </c>
      <c r="BR145" s="580">
        <f t="shared" si="116"/>
        <v>0</v>
      </c>
      <c r="BS145" s="580">
        <f t="shared" si="117"/>
        <v>0</v>
      </c>
      <c r="BT145" s="525">
        <f t="shared" si="97"/>
        <v>0.58333333333333337</v>
      </c>
      <c r="BU145" s="526" t="str">
        <f t="shared" ref="BU145:BU154" si="135">+U145</f>
        <v xml:space="preserve">Realizar el estudio de seguridad, visita domiciliaria y verificación de la información de la Hoja de Vida y antecedentes financieros de los funcionarios de la entidad. </v>
      </c>
      <c r="BV145" s="527">
        <f t="shared" si="96"/>
        <v>9916666.666666666</v>
      </c>
      <c r="BW145" s="524"/>
      <c r="BX145" s="524"/>
      <c r="BY145" s="524"/>
      <c r="BZ145" s="524"/>
      <c r="CA145" s="524"/>
      <c r="CB145" s="524"/>
      <c r="CC145" s="524"/>
    </row>
    <row r="146" spans="1:81" s="457" customFormat="1" ht="63.75" x14ac:dyDescent="0.25">
      <c r="A146" s="513">
        <v>11900</v>
      </c>
      <c r="B146" s="514" t="s">
        <v>349</v>
      </c>
      <c r="C146" s="515" t="s">
        <v>357</v>
      </c>
      <c r="D146" s="514" t="s">
        <v>146</v>
      </c>
      <c r="E146" s="659" t="s">
        <v>692</v>
      </c>
      <c r="F146" s="657" t="s">
        <v>843</v>
      </c>
      <c r="G146" s="659" t="s">
        <v>123</v>
      </c>
      <c r="H146" s="517">
        <v>1</v>
      </c>
      <c r="I146" s="659" t="s">
        <v>693</v>
      </c>
      <c r="J146" s="657" t="s">
        <v>841</v>
      </c>
      <c r="K146" s="669">
        <v>0</v>
      </c>
      <c r="L146" s="577">
        <v>1</v>
      </c>
      <c r="M146" s="657" t="s">
        <v>46</v>
      </c>
      <c r="N146" s="657" t="s">
        <v>74</v>
      </c>
      <c r="O146" s="657" t="s">
        <v>21</v>
      </c>
      <c r="P146" s="657" t="s">
        <v>36</v>
      </c>
      <c r="Q146" s="657" t="s">
        <v>229</v>
      </c>
      <c r="R146" s="514" t="s">
        <v>703</v>
      </c>
      <c r="S146" s="514" t="s">
        <v>99</v>
      </c>
      <c r="T146" s="519">
        <v>1</v>
      </c>
      <c r="U146" s="688" t="str">
        <f t="shared" si="118"/>
        <v xml:space="preserve">
Expedición actos administrativos iniciales ordenando el cobro.</v>
      </c>
      <c r="V146" s="685">
        <f t="shared" si="119"/>
        <v>0</v>
      </c>
      <c r="W146" s="659" t="s">
        <v>117</v>
      </c>
      <c r="X146" s="517">
        <v>0.1</v>
      </c>
      <c r="Y146" s="661" t="s">
        <v>702</v>
      </c>
      <c r="Z146" s="669">
        <v>0</v>
      </c>
      <c r="AA146" s="525">
        <f>673/4000</f>
        <v>0.16825000000000001</v>
      </c>
      <c r="AB146" s="671">
        <v>0</v>
      </c>
      <c r="AC146" s="581">
        <f>+(AA146/X146)</f>
        <v>1.6825000000000001</v>
      </c>
      <c r="AD146" s="663" t="e">
        <f>+(AB146/Z146)</f>
        <v>#DIV/0!</v>
      </c>
      <c r="AE146" s="582">
        <f>+(AA146/T146)</f>
        <v>0.16825000000000001</v>
      </c>
      <c r="AF146" s="663" t="e">
        <f>+(AB146/B146)</f>
        <v>#VALUE!</v>
      </c>
      <c r="AG146" s="683" t="s">
        <v>1014</v>
      </c>
      <c r="AH146" s="517">
        <v>0.3</v>
      </c>
      <c r="AI146" s="673" t="s">
        <v>702</v>
      </c>
      <c r="AJ146" s="669">
        <v>0</v>
      </c>
      <c r="AK146" s="524"/>
      <c r="AL146" s="675"/>
      <c r="AM146" s="582">
        <f>+(AK146/AH146)</f>
        <v>0</v>
      </c>
      <c r="AN146" s="663" t="e">
        <f>+(AL146/AJ146)</f>
        <v>#DIV/0!</v>
      </c>
      <c r="AO146" s="582">
        <f>+(AK146+AA146)/T146</f>
        <v>0.16825000000000001</v>
      </c>
      <c r="AP146" s="663" t="e">
        <f>+(AL146+AB146/V146)</f>
        <v>#DIV/0!</v>
      </c>
      <c r="AQ146" s="578"/>
      <c r="AR146" s="517">
        <v>0.3</v>
      </c>
      <c r="AS146" s="673" t="s">
        <v>702</v>
      </c>
      <c r="AT146" s="669">
        <v>0</v>
      </c>
      <c r="AU146" s="524"/>
      <c r="AV146" s="524"/>
      <c r="AW146" s="517">
        <f t="shared" si="127"/>
        <v>0</v>
      </c>
      <c r="AX146" s="663" t="e">
        <f t="shared" si="128"/>
        <v>#DIV/0!</v>
      </c>
      <c r="AY146" s="517">
        <f t="shared" si="129"/>
        <v>0.16825000000000001</v>
      </c>
      <c r="AZ146" s="663" t="e">
        <f t="shared" si="130"/>
        <v>#DIV/0!</v>
      </c>
      <c r="BA146" s="578"/>
      <c r="BB146" s="517">
        <v>0.3</v>
      </c>
      <c r="BC146" s="657" t="s">
        <v>702</v>
      </c>
      <c r="BD146" s="669">
        <v>0</v>
      </c>
      <c r="BE146" s="524"/>
      <c r="BF146" s="524"/>
      <c r="BG146" s="517">
        <f t="shared" si="131"/>
        <v>0</v>
      </c>
      <c r="BH146" s="663" t="e">
        <f>+(BF146/BD146)</f>
        <v>#DIV/0!</v>
      </c>
      <c r="BI146" s="517">
        <f t="shared" si="133"/>
        <v>0.16825000000000001</v>
      </c>
      <c r="BJ146" s="663" t="e">
        <f t="shared" si="134"/>
        <v>#DIV/0!</v>
      </c>
      <c r="BK146" s="578"/>
      <c r="BL146" s="580">
        <f t="shared" si="110"/>
        <v>1.6825000000000001</v>
      </c>
      <c r="BM146" s="666" t="str">
        <f t="shared" si="111"/>
        <v>No Prog ni Ejec</v>
      </c>
      <c r="BN146" s="580">
        <f t="shared" si="112"/>
        <v>0</v>
      </c>
      <c r="BO146" s="666" t="str">
        <f t="shared" si="113"/>
        <v>No Prog ni Ejec</v>
      </c>
      <c r="BP146" s="580">
        <f t="shared" si="114"/>
        <v>0</v>
      </c>
      <c r="BQ146" s="666" t="str">
        <f t="shared" si="115"/>
        <v>No Prog ni Ejec</v>
      </c>
      <c r="BR146" s="580">
        <f t="shared" si="116"/>
        <v>0</v>
      </c>
      <c r="BS146" s="666" t="str">
        <f t="shared" si="117"/>
        <v>No Prog ni Ejec</v>
      </c>
      <c r="BT146" s="525">
        <f t="shared" si="97"/>
        <v>0.5</v>
      </c>
      <c r="BU146" s="665" t="str">
        <f t="shared" si="135"/>
        <v xml:space="preserve">
Expedición actos administrativos iniciales ordenando el cobro.</v>
      </c>
      <c r="BV146" s="527">
        <f t="shared" si="96"/>
        <v>0</v>
      </c>
      <c r="BW146" s="524"/>
      <c r="BX146" s="524"/>
      <c r="BY146" s="524"/>
      <c r="BZ146" s="524"/>
      <c r="CA146" s="524"/>
      <c r="CB146" s="524"/>
      <c r="CC146" s="524"/>
    </row>
    <row r="147" spans="1:81" s="457" customFormat="1" ht="114.75" x14ac:dyDescent="0.25">
      <c r="A147" s="513">
        <v>11900</v>
      </c>
      <c r="B147" s="514" t="s">
        <v>349</v>
      </c>
      <c r="C147" s="515" t="s">
        <v>357</v>
      </c>
      <c r="D147" s="514" t="s">
        <v>146</v>
      </c>
      <c r="E147" s="660"/>
      <c r="F147" s="658"/>
      <c r="G147" s="660"/>
      <c r="H147" s="529" t="s">
        <v>884</v>
      </c>
      <c r="I147" s="660"/>
      <c r="J147" s="658"/>
      <c r="K147" s="670"/>
      <c r="L147" s="529" t="str">
        <f>+H147</f>
        <v>Pendiente definir de acuerdo al comportamiento del primer trimestre del 2018</v>
      </c>
      <c r="M147" s="658"/>
      <c r="N147" s="658"/>
      <c r="O147" s="658"/>
      <c r="P147" s="658"/>
      <c r="Q147" s="658"/>
      <c r="R147" s="514" t="s">
        <v>845</v>
      </c>
      <c r="S147" s="514" t="s">
        <v>99</v>
      </c>
      <c r="T147" s="529" t="str">
        <f>+L147</f>
        <v>Pendiente definir de acuerdo al comportamiento del primer trimestre del 2018</v>
      </c>
      <c r="U147" s="689"/>
      <c r="V147" s="687"/>
      <c r="W147" s="660"/>
      <c r="X147" s="517" t="s">
        <v>792</v>
      </c>
      <c r="Y147" s="662"/>
      <c r="Z147" s="670"/>
      <c r="AA147" s="524" t="s">
        <v>792</v>
      </c>
      <c r="AB147" s="672"/>
      <c r="AC147" s="581" t="e">
        <f>+(AA147/X147)</f>
        <v>#VALUE!</v>
      </c>
      <c r="AD147" s="664"/>
      <c r="AE147" s="582" t="e">
        <f>+(AA147/T147)</f>
        <v>#VALUE!</v>
      </c>
      <c r="AF147" s="664"/>
      <c r="AG147" s="684"/>
      <c r="AH147" s="529" t="str">
        <f>+T147</f>
        <v>Pendiente definir de acuerdo al comportamiento del primer trimestre del 2018</v>
      </c>
      <c r="AI147" s="674"/>
      <c r="AJ147" s="670"/>
      <c r="AK147" s="524"/>
      <c r="AL147" s="676"/>
      <c r="AM147" s="582" t="e">
        <f>+(AK147/AH147)</f>
        <v>#VALUE!</v>
      </c>
      <c r="AN147" s="664"/>
      <c r="AO147" s="582" t="e">
        <f>+(AK147+AA147)/T147</f>
        <v>#VALUE!</v>
      </c>
      <c r="AP147" s="664"/>
      <c r="AQ147" s="583"/>
      <c r="AR147" s="529" t="str">
        <f>+AH147</f>
        <v>Pendiente definir de acuerdo al comportamiento del primer trimestre del 2018</v>
      </c>
      <c r="AS147" s="674"/>
      <c r="AT147" s="670"/>
      <c r="AU147" s="524"/>
      <c r="AV147" s="524"/>
      <c r="AW147" s="517" t="e">
        <f>+(AU147/AR147)</f>
        <v>#VALUE!</v>
      </c>
      <c r="AX147" s="664"/>
      <c r="AY147" s="517" t="e">
        <f t="shared" ref="AY147" si="136">+(AK147+AA147+AU147)/T147</f>
        <v>#VALUE!</v>
      </c>
      <c r="AZ147" s="664"/>
      <c r="BA147" s="583"/>
      <c r="BB147" s="529" t="str">
        <f>+T147</f>
        <v>Pendiente definir de acuerdo al comportamiento del primer trimestre del 2018</v>
      </c>
      <c r="BC147" s="658"/>
      <c r="BD147" s="670"/>
      <c r="BE147" s="524"/>
      <c r="BF147" s="524"/>
      <c r="BG147" s="517" t="e">
        <f t="shared" ref="BG147" si="137">+(BE147/BB147)</f>
        <v>#VALUE!</v>
      </c>
      <c r="BH147" s="664"/>
      <c r="BI147" s="517" t="e">
        <f>+(AK147+AA147+AU147+BE147)/T147</f>
        <v>#VALUE!</v>
      </c>
      <c r="BJ147" s="664"/>
      <c r="BK147" s="583"/>
      <c r="BL147" s="580" t="e">
        <f t="shared" ref="BL147" si="138">IF(AND(X147=0,AA147=0),"No Prog ni Ejec",IF(X147=0,CONCATENATE("No Prog, Ejec=  ",AA147),AA147/X147))</f>
        <v>#VALUE!</v>
      </c>
      <c r="BM147" s="668"/>
      <c r="BN147" s="580" t="e">
        <f t="shared" ref="BN147" si="139">IF(AND(AH147=0,AK147=0),"No Prog ni Ejec",IF(AH147=0,CONCATENATE("No Prog, Ejec=  ",AK147),AK147/AH147))</f>
        <v>#VALUE!</v>
      </c>
      <c r="BO147" s="668"/>
      <c r="BP147" s="580" t="e">
        <f t="shared" ref="BP147" si="140">IF(AND(AR147=0,AU147=0),"No Prog ni Ejec",IF(AR147=0,CONCATENATE("No Prog, Ejec=  ",AU147),AU147/AR147))</f>
        <v>#VALUE!</v>
      </c>
      <c r="BQ147" s="668"/>
      <c r="BR147" s="580" t="e">
        <f t="shared" ref="BR147" si="141">IF(AND(BB147=0,BE147=0),"No Prog ni Ejec",IF(BB147=0,CONCATENATE("No Prog, Ejec=  ",BE147),BE147/BB147))</f>
        <v>#VALUE!</v>
      </c>
      <c r="BS147" s="668"/>
      <c r="BT147" s="525" t="str">
        <f>+T147</f>
        <v>Pendiente definir de acuerdo al comportamiento del primer trimestre del 2018</v>
      </c>
      <c r="BU147" s="665"/>
      <c r="BV147" s="527">
        <f t="shared" si="96"/>
        <v>0</v>
      </c>
      <c r="BW147" s="524"/>
      <c r="BX147" s="524"/>
      <c r="BY147" s="524"/>
      <c r="BZ147" s="524"/>
      <c r="CA147" s="524"/>
      <c r="CB147" s="524"/>
      <c r="CC147" s="524"/>
    </row>
    <row r="148" spans="1:81" s="457" customFormat="1" ht="178.5" x14ac:dyDescent="0.25">
      <c r="A148" s="513">
        <v>11900</v>
      </c>
      <c r="B148" s="514" t="s">
        <v>349</v>
      </c>
      <c r="C148" s="515" t="s">
        <v>357</v>
      </c>
      <c r="D148" s="514" t="s">
        <v>146</v>
      </c>
      <c r="E148" s="659" t="s">
        <v>719</v>
      </c>
      <c r="F148" s="657" t="s">
        <v>704</v>
      </c>
      <c r="G148" s="659" t="s">
        <v>123</v>
      </c>
      <c r="H148" s="517">
        <v>1</v>
      </c>
      <c r="I148" s="659" t="s">
        <v>720</v>
      </c>
      <c r="J148" s="657" t="s">
        <v>764</v>
      </c>
      <c r="K148" s="669">
        <v>0</v>
      </c>
      <c r="L148" s="519">
        <v>1</v>
      </c>
      <c r="M148" s="657" t="s">
        <v>46</v>
      </c>
      <c r="N148" s="657" t="s">
        <v>74</v>
      </c>
      <c r="O148" s="657" t="s">
        <v>21</v>
      </c>
      <c r="P148" s="657" t="s">
        <v>36</v>
      </c>
      <c r="Q148" s="657" t="s">
        <v>229</v>
      </c>
      <c r="R148" s="514" t="s">
        <v>706</v>
      </c>
      <c r="S148" s="514" t="s">
        <v>99</v>
      </c>
      <c r="T148" s="519">
        <v>1</v>
      </c>
      <c r="U148" s="688" t="str">
        <f>+J148</f>
        <v>Adelantar proceso coactivo a partir de la  ejecutoria del acto administrativo que ordenó el cobro.</v>
      </c>
      <c r="V148" s="685">
        <f t="shared" si="119"/>
        <v>0</v>
      </c>
      <c r="W148" s="659" t="s">
        <v>117</v>
      </c>
      <c r="X148" s="517">
        <v>0</v>
      </c>
      <c r="Y148" s="661" t="s">
        <v>764</v>
      </c>
      <c r="Z148" s="669">
        <v>0</v>
      </c>
      <c r="AA148" s="603">
        <v>0</v>
      </c>
      <c r="AB148" s="671">
        <v>0</v>
      </c>
      <c r="AC148" s="523" t="e">
        <f t="shared" si="98"/>
        <v>#DIV/0!</v>
      </c>
      <c r="AD148" s="663" t="e">
        <f t="shared" si="120"/>
        <v>#DIV/0!</v>
      </c>
      <c r="AE148" s="517">
        <f t="shared" si="121"/>
        <v>0</v>
      </c>
      <c r="AF148" s="663" t="e">
        <f t="shared" si="122"/>
        <v>#DIV/0!</v>
      </c>
      <c r="AG148" s="528" t="s">
        <v>1015</v>
      </c>
      <c r="AH148" s="517">
        <v>0</v>
      </c>
      <c r="AI148" s="673" t="s">
        <v>764</v>
      </c>
      <c r="AJ148" s="518">
        <v>0</v>
      </c>
      <c r="AK148" s="524"/>
      <c r="AL148" s="524"/>
      <c r="AM148" s="517" t="e">
        <f t="shared" si="123"/>
        <v>#DIV/0!</v>
      </c>
      <c r="AN148" s="663" t="e">
        <f t="shared" si="124"/>
        <v>#DIV/0!</v>
      </c>
      <c r="AO148" s="517">
        <f t="shared" si="125"/>
        <v>0</v>
      </c>
      <c r="AP148" s="663" t="e">
        <f t="shared" si="126"/>
        <v>#DIV/0!</v>
      </c>
      <c r="AQ148" s="578"/>
      <c r="AR148" s="517">
        <v>0.25</v>
      </c>
      <c r="AS148" s="522" t="s">
        <v>764</v>
      </c>
      <c r="AT148" s="518">
        <v>0</v>
      </c>
      <c r="AU148" s="524"/>
      <c r="AV148" s="524"/>
      <c r="AW148" s="517">
        <f t="shared" si="127"/>
        <v>0</v>
      </c>
      <c r="AX148" s="663" t="e">
        <f t="shared" si="128"/>
        <v>#DIV/0!</v>
      </c>
      <c r="AY148" s="517">
        <f t="shared" si="129"/>
        <v>0</v>
      </c>
      <c r="AZ148" s="663" t="e">
        <f t="shared" si="130"/>
        <v>#DIV/0!</v>
      </c>
      <c r="BA148" s="578"/>
      <c r="BB148" s="517">
        <v>0.75</v>
      </c>
      <c r="BC148" s="522" t="s">
        <v>764</v>
      </c>
      <c r="BD148" s="518">
        <v>0</v>
      </c>
      <c r="BE148" s="524"/>
      <c r="BF148" s="524"/>
      <c r="BG148" s="517">
        <f t="shared" si="131"/>
        <v>0</v>
      </c>
      <c r="BH148" s="663" t="e">
        <f t="shared" si="132"/>
        <v>#DIV/0!</v>
      </c>
      <c r="BI148" s="517">
        <f t="shared" si="133"/>
        <v>0</v>
      </c>
      <c r="BJ148" s="663" t="e">
        <f t="shared" si="134"/>
        <v>#DIV/0!</v>
      </c>
      <c r="BK148" s="578"/>
      <c r="BL148" s="580" t="str">
        <f t="shared" si="110"/>
        <v>No Prog ni Ejec</v>
      </c>
      <c r="BM148" s="666" t="str">
        <f t="shared" si="111"/>
        <v>No Prog ni Ejec</v>
      </c>
      <c r="BN148" s="580" t="str">
        <f t="shared" si="112"/>
        <v>No Prog ni Ejec</v>
      </c>
      <c r="BO148" s="666" t="str">
        <f t="shared" si="113"/>
        <v>No Prog ni Ejec</v>
      </c>
      <c r="BP148" s="580">
        <f t="shared" si="114"/>
        <v>0</v>
      </c>
      <c r="BQ148" s="666" t="str">
        <f t="shared" si="115"/>
        <v>No Prog ni Ejec</v>
      </c>
      <c r="BR148" s="580">
        <f t="shared" si="116"/>
        <v>0</v>
      </c>
      <c r="BS148" s="666" t="str">
        <f t="shared" si="117"/>
        <v>No Prog ni Ejec</v>
      </c>
      <c r="BT148" s="525">
        <f t="shared" si="97"/>
        <v>8.3333333333333329E-2</v>
      </c>
      <c r="BU148" s="665" t="str">
        <f t="shared" si="135"/>
        <v>Adelantar proceso coactivo a partir de la  ejecutoria del acto administrativo que ordenó el cobro.</v>
      </c>
      <c r="BV148" s="527">
        <f t="shared" si="96"/>
        <v>0</v>
      </c>
      <c r="BW148" s="524"/>
      <c r="BX148" s="524"/>
      <c r="BY148" s="524"/>
      <c r="BZ148" s="524"/>
      <c r="CA148" s="524"/>
      <c r="CB148" s="524"/>
      <c r="CC148" s="524"/>
    </row>
    <row r="149" spans="1:81" s="457" customFormat="1" ht="127.5" x14ac:dyDescent="0.25">
      <c r="A149" s="513">
        <v>11900</v>
      </c>
      <c r="B149" s="514" t="s">
        <v>349</v>
      </c>
      <c r="C149" s="515" t="s">
        <v>357</v>
      </c>
      <c r="D149" s="514" t="s">
        <v>146</v>
      </c>
      <c r="E149" s="660"/>
      <c r="F149" s="658"/>
      <c r="G149" s="660"/>
      <c r="H149" s="517" t="s">
        <v>884</v>
      </c>
      <c r="I149" s="660"/>
      <c r="J149" s="658"/>
      <c r="K149" s="670"/>
      <c r="L149" s="519" t="str">
        <f>+H149</f>
        <v>Pendiente definir de acuerdo al comportamiento del primer trimestre del 2018</v>
      </c>
      <c r="M149" s="658"/>
      <c r="N149" s="658"/>
      <c r="O149" s="658"/>
      <c r="P149" s="658"/>
      <c r="Q149" s="658"/>
      <c r="R149" s="514" t="s">
        <v>844</v>
      </c>
      <c r="S149" s="514" t="s">
        <v>99</v>
      </c>
      <c r="T149" s="519" t="str">
        <f>+H149</f>
        <v>Pendiente definir de acuerdo al comportamiento del primer trimestre del 2018</v>
      </c>
      <c r="U149" s="689"/>
      <c r="V149" s="687"/>
      <c r="W149" s="660"/>
      <c r="X149" s="517" t="s">
        <v>792</v>
      </c>
      <c r="Y149" s="662"/>
      <c r="Z149" s="670"/>
      <c r="AA149" s="524" t="s">
        <v>792</v>
      </c>
      <c r="AB149" s="672"/>
      <c r="AC149" s="523" t="e">
        <f t="shared" ref="AC149" si="142">+(AA149/X149)</f>
        <v>#VALUE!</v>
      </c>
      <c r="AD149" s="664"/>
      <c r="AE149" s="517" t="e">
        <f t="shared" ref="AE149" si="143">+(AA149/T149)</f>
        <v>#VALUE!</v>
      </c>
      <c r="AF149" s="664"/>
      <c r="AG149" s="528"/>
      <c r="AH149" s="529" t="str">
        <f>+H149</f>
        <v>Pendiente definir de acuerdo al comportamiento del primer trimestre del 2018</v>
      </c>
      <c r="AI149" s="674"/>
      <c r="AJ149" s="518"/>
      <c r="AK149" s="524"/>
      <c r="AL149" s="524"/>
      <c r="AM149" s="517" t="e">
        <f t="shared" ref="AM149" si="144">+(AK149/AH149)</f>
        <v>#VALUE!</v>
      </c>
      <c r="AN149" s="664"/>
      <c r="AO149" s="517" t="e">
        <f t="shared" ref="AO149" si="145">+(AK149+AA149)/T149</f>
        <v>#VALUE!</v>
      </c>
      <c r="AP149" s="664"/>
      <c r="AQ149" s="583"/>
      <c r="AR149" s="526" t="str">
        <f>+H149</f>
        <v>Pendiente definir de acuerdo al comportamiento del primer trimestre del 2018</v>
      </c>
      <c r="AS149" s="522"/>
      <c r="AT149" s="518"/>
      <c r="AU149" s="524"/>
      <c r="AV149" s="524"/>
      <c r="AW149" s="517" t="e">
        <f t="shared" ref="AW149" si="146">+(AU149/AR149)</f>
        <v>#VALUE!</v>
      </c>
      <c r="AX149" s="664"/>
      <c r="AY149" s="517" t="e">
        <f t="shared" ref="AY149" si="147">+(AK149+AA149+AU149)/T149</f>
        <v>#VALUE!</v>
      </c>
      <c r="AZ149" s="664"/>
      <c r="BA149" s="583"/>
      <c r="BB149" s="529" t="str">
        <f>+H149</f>
        <v>Pendiente definir de acuerdo al comportamiento del primer trimestre del 2018</v>
      </c>
      <c r="BC149" s="522"/>
      <c r="BD149" s="518"/>
      <c r="BE149" s="524"/>
      <c r="BF149" s="524"/>
      <c r="BG149" s="517" t="e">
        <f t="shared" ref="BG149" si="148">+(BE149/BB149)</f>
        <v>#VALUE!</v>
      </c>
      <c r="BH149" s="664"/>
      <c r="BI149" s="517" t="e">
        <f t="shared" ref="BI149" si="149">+(AK149+AA149+AU149+BE149)/T149</f>
        <v>#VALUE!</v>
      </c>
      <c r="BJ149" s="664"/>
      <c r="BK149" s="583"/>
      <c r="BL149" s="580" t="e">
        <f t="shared" ref="BL149" si="150">IF(AND(X149=0,AA149=0),"No Prog ni Ejec",IF(X149=0,CONCATENATE("No Prog, Ejec=  ",AA149),AA149/X149))</f>
        <v>#VALUE!</v>
      </c>
      <c r="BM149" s="668"/>
      <c r="BN149" s="580" t="e">
        <f t="shared" ref="BN149" si="151">IF(AND(AH149=0,AK149=0),"No Prog ni Ejec",IF(AH149=0,CONCATENATE("No Prog, Ejec=  ",AK149),AK149/AH149))</f>
        <v>#VALUE!</v>
      </c>
      <c r="BO149" s="668"/>
      <c r="BP149" s="580" t="e">
        <f t="shared" ref="BP149" si="152">IF(AND(AR149=0,AU149=0),"No Prog ni Ejec",IF(AR149=0,CONCATENATE("No Prog, Ejec=  ",AU149),AU149/AR149))</f>
        <v>#VALUE!</v>
      </c>
      <c r="BQ149" s="668"/>
      <c r="BR149" s="580" t="e">
        <f t="shared" ref="BR149" si="153">IF(AND(BB149=0,BE149=0),"No Prog ni Ejec",IF(BB149=0,CONCATENATE("No Prog, Ejec=  ",BE149),BE149/BB149))</f>
        <v>#VALUE!</v>
      </c>
      <c r="BS149" s="668"/>
      <c r="BT149" s="525" t="str">
        <f>+H149</f>
        <v>Pendiente definir de acuerdo al comportamiento del primer trimestre del 2018</v>
      </c>
      <c r="BU149" s="665"/>
      <c r="BV149" s="527">
        <f t="shared" si="96"/>
        <v>0</v>
      </c>
      <c r="BW149" s="524"/>
      <c r="BX149" s="524"/>
      <c r="BY149" s="524"/>
      <c r="BZ149" s="524"/>
      <c r="CA149" s="524"/>
      <c r="CB149" s="524"/>
      <c r="CC149" s="524"/>
    </row>
    <row r="150" spans="1:81" s="457" customFormat="1" ht="191.25" x14ac:dyDescent="0.25">
      <c r="A150" s="513">
        <v>11900</v>
      </c>
      <c r="B150" s="514" t="s">
        <v>349</v>
      </c>
      <c r="C150" s="515" t="s">
        <v>357</v>
      </c>
      <c r="D150" s="514" t="s">
        <v>146</v>
      </c>
      <c r="E150" s="515" t="s">
        <v>701</v>
      </c>
      <c r="F150" s="657" t="s">
        <v>712</v>
      </c>
      <c r="G150" s="516" t="s">
        <v>123</v>
      </c>
      <c r="H150" s="517">
        <v>1</v>
      </c>
      <c r="I150" s="515" t="s">
        <v>707</v>
      </c>
      <c r="J150" s="514" t="s">
        <v>468</v>
      </c>
      <c r="K150" s="584">
        <v>150000000</v>
      </c>
      <c r="L150" s="519">
        <v>1</v>
      </c>
      <c r="M150" s="514" t="s">
        <v>46</v>
      </c>
      <c r="N150" s="514" t="s">
        <v>74</v>
      </c>
      <c r="O150" s="514" t="s">
        <v>21</v>
      </c>
      <c r="P150" s="514" t="s">
        <v>36</v>
      </c>
      <c r="Q150" s="514" t="s">
        <v>229</v>
      </c>
      <c r="R150" s="514" t="s">
        <v>182</v>
      </c>
      <c r="S150" s="514" t="s">
        <v>99</v>
      </c>
      <c r="T150" s="519">
        <v>1</v>
      </c>
      <c r="U150" s="520" t="str">
        <f t="shared" si="118"/>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V150" s="530">
        <f t="shared" si="119"/>
        <v>150000000</v>
      </c>
      <c r="W150" s="522" t="s">
        <v>114</v>
      </c>
      <c r="X150" s="517">
        <v>0.25</v>
      </c>
      <c r="Y150" s="522" t="s">
        <v>468</v>
      </c>
      <c r="Z150" s="584">
        <f>+V150*X150</f>
        <v>37500000</v>
      </c>
      <c r="AA150" s="524">
        <v>0</v>
      </c>
      <c r="AB150" s="524">
        <v>0</v>
      </c>
      <c r="AC150" s="523">
        <f t="shared" si="98"/>
        <v>0</v>
      </c>
      <c r="AD150" s="517">
        <f t="shared" si="120"/>
        <v>0</v>
      </c>
      <c r="AE150" s="517">
        <f t="shared" si="121"/>
        <v>0</v>
      </c>
      <c r="AF150" s="517">
        <f t="shared" si="122"/>
        <v>0</v>
      </c>
      <c r="AG150" s="528" t="s">
        <v>927</v>
      </c>
      <c r="AH150" s="517">
        <v>0.25</v>
      </c>
      <c r="AI150" s="522" t="s">
        <v>468</v>
      </c>
      <c r="AJ150" s="518">
        <v>37500000</v>
      </c>
      <c r="AK150" s="524"/>
      <c r="AL150" s="524"/>
      <c r="AM150" s="517">
        <f t="shared" si="123"/>
        <v>0</v>
      </c>
      <c r="AN150" s="517">
        <f t="shared" si="124"/>
        <v>0</v>
      </c>
      <c r="AO150" s="517">
        <f t="shared" si="125"/>
        <v>0</v>
      </c>
      <c r="AP150" s="517">
        <f t="shared" si="126"/>
        <v>0</v>
      </c>
      <c r="AQ150" s="517"/>
      <c r="AR150" s="517">
        <v>0.25</v>
      </c>
      <c r="AS150" s="522" t="s">
        <v>468</v>
      </c>
      <c r="AT150" s="518">
        <v>37500000</v>
      </c>
      <c r="AU150" s="524"/>
      <c r="AV150" s="524"/>
      <c r="AW150" s="517">
        <f t="shared" si="127"/>
        <v>0</v>
      </c>
      <c r="AX150" s="517">
        <f t="shared" si="128"/>
        <v>0</v>
      </c>
      <c r="AY150" s="517">
        <f t="shared" si="129"/>
        <v>0</v>
      </c>
      <c r="AZ150" s="517">
        <f t="shared" si="130"/>
        <v>0</v>
      </c>
      <c r="BA150" s="517"/>
      <c r="BB150" s="517">
        <v>0.25</v>
      </c>
      <c r="BC150" s="522" t="s">
        <v>468</v>
      </c>
      <c r="BD150" s="518">
        <v>37500000</v>
      </c>
      <c r="BE150" s="524"/>
      <c r="BF150" s="524"/>
      <c r="BG150" s="517">
        <f t="shared" si="131"/>
        <v>0</v>
      </c>
      <c r="BH150" s="517">
        <f t="shared" si="132"/>
        <v>0</v>
      </c>
      <c r="BI150" s="517">
        <f t="shared" si="133"/>
        <v>0</v>
      </c>
      <c r="BJ150" s="517">
        <f t="shared" si="134"/>
        <v>0</v>
      </c>
      <c r="BK150" s="517"/>
      <c r="BL150" s="580">
        <f t="shared" si="110"/>
        <v>0</v>
      </c>
      <c r="BM150" s="580">
        <f t="shared" si="111"/>
        <v>0</v>
      </c>
      <c r="BN150" s="580">
        <f t="shared" si="112"/>
        <v>0</v>
      </c>
      <c r="BO150" s="580">
        <f t="shared" si="113"/>
        <v>0</v>
      </c>
      <c r="BP150" s="580">
        <f t="shared" si="114"/>
        <v>0</v>
      </c>
      <c r="BQ150" s="580">
        <f t="shared" si="115"/>
        <v>0</v>
      </c>
      <c r="BR150" s="580">
        <f t="shared" si="116"/>
        <v>0</v>
      </c>
      <c r="BS150" s="580">
        <f t="shared" si="117"/>
        <v>0</v>
      </c>
      <c r="BT150" s="525">
        <f t="shared" si="97"/>
        <v>0.58333333333333337</v>
      </c>
      <c r="BU150" s="526" t="str">
        <f t="shared" si="135"/>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V150" s="527">
        <f t="shared" si="96"/>
        <v>87500000</v>
      </c>
      <c r="BW150" s="524"/>
      <c r="BX150" s="524"/>
      <c r="BY150" s="524"/>
      <c r="BZ150" s="524"/>
      <c r="CA150" s="524"/>
      <c r="CB150" s="524"/>
      <c r="CC150" s="524"/>
    </row>
    <row r="151" spans="1:81" s="457" customFormat="1" ht="51" x14ac:dyDescent="0.25">
      <c r="A151" s="513">
        <v>11900</v>
      </c>
      <c r="B151" s="514" t="s">
        <v>349</v>
      </c>
      <c r="C151" s="515" t="s">
        <v>357</v>
      </c>
      <c r="D151" s="514" t="s">
        <v>146</v>
      </c>
      <c r="E151" s="515" t="s">
        <v>701</v>
      </c>
      <c r="F151" s="682"/>
      <c r="G151" s="516" t="s">
        <v>123</v>
      </c>
      <c r="H151" s="517">
        <v>1</v>
      </c>
      <c r="I151" s="515" t="s">
        <v>943</v>
      </c>
      <c r="J151" s="514" t="s">
        <v>1016</v>
      </c>
      <c r="K151" s="585">
        <f>1647456+61050000</f>
        <v>62697456</v>
      </c>
      <c r="L151" s="519">
        <v>1</v>
      </c>
      <c r="M151" s="514" t="s">
        <v>46</v>
      </c>
      <c r="N151" s="514" t="s">
        <v>74</v>
      </c>
      <c r="O151" s="514" t="s">
        <v>21</v>
      </c>
      <c r="P151" s="514" t="s">
        <v>36</v>
      </c>
      <c r="Q151" s="514" t="s">
        <v>229</v>
      </c>
      <c r="R151" s="514" t="s">
        <v>960</v>
      </c>
      <c r="S151" s="514" t="s">
        <v>99</v>
      </c>
      <c r="T151" s="519">
        <v>1</v>
      </c>
      <c r="U151" s="520" t="str">
        <f>+J151</f>
        <v>Otros gastos asociados a la representación judicial</v>
      </c>
      <c r="V151" s="586">
        <f>+K151</f>
        <v>62697456</v>
      </c>
      <c r="W151" s="522" t="s">
        <v>114</v>
      </c>
      <c r="X151" s="517">
        <v>0.25</v>
      </c>
      <c r="Y151" s="529" t="str">
        <f>+U151</f>
        <v>Otros gastos asociados a la representación judicial</v>
      </c>
      <c r="Z151" s="585">
        <f>+V151*X151</f>
        <v>15674364</v>
      </c>
      <c r="AA151" s="525">
        <f>+(AB151/Z151)*25%</f>
        <v>0.18489723091794985</v>
      </c>
      <c r="AB151" s="527">
        <v>11592586</v>
      </c>
      <c r="AC151" s="523">
        <f t="shared" ref="AC151" si="154">+(AA151/X151)</f>
        <v>0.7395889236717994</v>
      </c>
      <c r="AD151" s="517">
        <f t="shared" ref="AD151" si="155">+(AB151/Z151)</f>
        <v>0.7395889236717994</v>
      </c>
      <c r="AE151" s="517">
        <f t="shared" ref="AE151" si="156">+(AA151/T151)</f>
        <v>0.18489723091794985</v>
      </c>
      <c r="AF151" s="517">
        <f t="shared" ref="AF151" si="157">+(AB151/V151)</f>
        <v>0.18489723091794985</v>
      </c>
      <c r="AG151" s="528"/>
      <c r="AH151" s="517">
        <v>0.25</v>
      </c>
      <c r="AI151" s="522" t="str">
        <f>+J151</f>
        <v>Otros gastos asociados a la representación judicial</v>
      </c>
      <c r="AJ151" s="518">
        <f>+V151*AH151</f>
        <v>15674364</v>
      </c>
      <c r="AK151" s="524"/>
      <c r="AL151" s="524"/>
      <c r="AM151" s="517">
        <f t="shared" ref="AM151" si="158">+(AK151/AH151)</f>
        <v>0</v>
      </c>
      <c r="AN151" s="517">
        <f t="shared" ref="AN151" si="159">+(AL151/AJ151)</f>
        <v>0</v>
      </c>
      <c r="AO151" s="517">
        <f t="shared" ref="AO151" si="160">+(AK151+AA151)/T151</f>
        <v>0.18489723091794985</v>
      </c>
      <c r="AP151" s="517">
        <f t="shared" ref="AP151" si="161">+(AL151+AB151)/V151</f>
        <v>0.18489723091794985</v>
      </c>
      <c r="AQ151" s="517"/>
      <c r="AR151" s="517">
        <v>0.25</v>
      </c>
      <c r="AS151" s="522" t="str">
        <f>+J151</f>
        <v>Otros gastos asociados a la representación judicial</v>
      </c>
      <c r="AT151" s="518">
        <v>30411864</v>
      </c>
      <c r="AU151" s="524"/>
      <c r="AV151" s="524"/>
      <c r="AW151" s="517">
        <f t="shared" ref="AW151" si="162">+(AU151/AR151)</f>
        <v>0</v>
      </c>
      <c r="AX151" s="517">
        <f t="shared" ref="AX151" si="163">+(AV151/AT151)</f>
        <v>0</v>
      </c>
      <c r="AY151" s="517">
        <f t="shared" ref="AY151" si="164">+(AK151+AA151+AU151)/T151</f>
        <v>0.18489723091794985</v>
      </c>
      <c r="AZ151" s="517">
        <f t="shared" ref="AZ151" si="165">+(AL151+AB151+AV151)/V151</f>
        <v>0.18489723091794985</v>
      </c>
      <c r="BA151" s="517"/>
      <c r="BB151" s="517">
        <v>0.25</v>
      </c>
      <c r="BC151" s="529" t="str">
        <f>+U151</f>
        <v>Otros gastos asociados a la representación judicial</v>
      </c>
      <c r="BD151" s="518">
        <v>30411864</v>
      </c>
      <c r="BE151" s="524"/>
      <c r="BF151" s="524"/>
      <c r="BG151" s="517">
        <f t="shared" ref="BG151" si="166">+(BE151/BB151)</f>
        <v>0</v>
      </c>
      <c r="BH151" s="517">
        <f t="shared" ref="BH151" si="167">+(BF151/BD151)</f>
        <v>0</v>
      </c>
      <c r="BI151" s="517">
        <f t="shared" ref="BI151" si="168">+(AK151+AA151+AU151+BE151)/T151</f>
        <v>0.18489723091794985</v>
      </c>
      <c r="BJ151" s="517">
        <f t="shared" ref="BJ151" si="169">+(AL151+AB151+AV151+BF151)/V151</f>
        <v>0.18489723091794985</v>
      </c>
      <c r="BK151" s="517"/>
      <c r="BL151" s="580">
        <f t="shared" ref="BL151" si="170">IF(AND(X151=0,AA151=0),"No Prog ni Ejec",IF(X151=0,CONCATENATE("No Prog, Ejec=  ",AA151),AA151/X151))</f>
        <v>0.7395889236717994</v>
      </c>
      <c r="BM151" s="580">
        <f t="shared" ref="BM151" si="171">IF(AND(Z151=0,AB151=0),"No Prog ni Ejec",IF(Z151=0,CONCATENATE("No Prog, Ejec=  ",AB151),AB151/Z151))</f>
        <v>0.7395889236717994</v>
      </c>
      <c r="BN151" s="580">
        <f t="shared" ref="BN151" si="172">IF(AND(AH151=0,AK151=0),"No Prog ni Ejec",IF(AH151=0,CONCATENATE("No Prog, Ejec=  ",AK151),AK151/AH151))</f>
        <v>0</v>
      </c>
      <c r="BO151" s="580">
        <f t="shared" ref="BO151" si="173">IF(AND(AJ151=0,AL151=0),"No Prog ni Ejec",IF(AJ151=0,CONCATENATE("No Prog, Ejec=  ",AL151),AL151/AJ151))</f>
        <v>0</v>
      </c>
      <c r="BP151" s="580">
        <f t="shared" ref="BP151" si="174">IF(AND(AR151=0,AU151=0),"No Prog ni Ejec",IF(AR151=0,CONCATENATE("No Prog, Ejec=  ",AU151),AU151/AR151))</f>
        <v>0</v>
      </c>
      <c r="BQ151" s="580">
        <f t="shared" ref="BQ151" si="175">IF(AND(AT151=0,AV151=0),"No Prog ni Ejec",IF(AT151=0,CONCATENATE("No Prog, Ejec=  ",AV151),AV151/AT151))</f>
        <v>0</v>
      </c>
      <c r="BR151" s="580">
        <f t="shared" ref="BR151" si="176">IF(AND(BB151=0,BE151=0),"No Prog ni Ejec",IF(BB151=0,CONCATENATE("No Prog, Ejec=  ",BE151),BE151/BB151))</f>
        <v>0</v>
      </c>
      <c r="BS151" s="580">
        <f t="shared" ref="BS151" si="177">IF(AND(BD151=0,BF151=0),"No Prog ni Ejec",IF(BD151=0,CONCATENATE("No Prog, Ejec=  ",BF151),BF151/BD151))</f>
        <v>0</v>
      </c>
      <c r="BT151" s="525">
        <f t="shared" si="97"/>
        <v>0.58333333333333337</v>
      </c>
      <c r="BU151" s="526" t="str">
        <f>+U151</f>
        <v>Otros gastos asociados a la representación judicial</v>
      </c>
      <c r="BV151" s="527">
        <f t="shared" si="96"/>
        <v>41486016</v>
      </c>
      <c r="BW151" s="524"/>
      <c r="BX151" s="524"/>
      <c r="BY151" s="524"/>
      <c r="BZ151" s="524"/>
      <c r="CA151" s="524"/>
      <c r="CB151" s="524"/>
      <c r="CC151" s="524"/>
    </row>
    <row r="152" spans="1:81" s="457" customFormat="1" ht="153" x14ac:dyDescent="0.25">
      <c r="A152" s="513">
        <v>11900</v>
      </c>
      <c r="B152" s="514" t="s">
        <v>349</v>
      </c>
      <c r="C152" s="515" t="s">
        <v>357</v>
      </c>
      <c r="D152" s="514" t="s">
        <v>146</v>
      </c>
      <c r="E152" s="515" t="s">
        <v>701</v>
      </c>
      <c r="F152" s="658"/>
      <c r="G152" s="516" t="s">
        <v>123</v>
      </c>
      <c r="H152" s="517">
        <v>1</v>
      </c>
      <c r="I152" s="515" t="s">
        <v>965</v>
      </c>
      <c r="J152" s="514" t="s">
        <v>944</v>
      </c>
      <c r="K152" s="585">
        <v>199920000</v>
      </c>
      <c r="L152" s="519">
        <v>1</v>
      </c>
      <c r="M152" s="514" t="s">
        <v>46</v>
      </c>
      <c r="N152" s="514" t="s">
        <v>74</v>
      </c>
      <c r="O152" s="514" t="s">
        <v>21</v>
      </c>
      <c r="P152" s="514" t="s">
        <v>36</v>
      </c>
      <c r="Q152" s="514" t="s">
        <v>229</v>
      </c>
      <c r="R152" s="514" t="s">
        <v>182</v>
      </c>
      <c r="S152" s="514" t="s">
        <v>99</v>
      </c>
      <c r="T152" s="519">
        <v>1</v>
      </c>
      <c r="U152" s="520" t="str">
        <f>+J152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V152" s="586">
        <f>+K152</f>
        <v>199920000</v>
      </c>
      <c r="W152" s="522" t="s">
        <v>114</v>
      </c>
      <c r="X152" s="517">
        <f>+Z152/V152</f>
        <v>0.29761904761904762</v>
      </c>
      <c r="Y152" s="529" t="str">
        <f>+J152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Z152" s="585">
        <v>59500000</v>
      </c>
      <c r="AA152" s="525">
        <f>+(AB152/Z152)*30%</f>
        <v>0.3</v>
      </c>
      <c r="AB152" s="527">
        <v>59500000</v>
      </c>
      <c r="AC152" s="523">
        <f>+(AA152/X152)</f>
        <v>1.008</v>
      </c>
      <c r="AD152" s="517">
        <f t="shared" ref="AD152" si="178">+(AB152/Z152)</f>
        <v>1</v>
      </c>
      <c r="AE152" s="517">
        <f t="shared" ref="AE152" si="179">+(AA152/T152)</f>
        <v>0.3</v>
      </c>
      <c r="AF152" s="517">
        <f t="shared" ref="AF152" si="180">+(AB152/V152)</f>
        <v>0.29761904761904762</v>
      </c>
      <c r="AG152" s="528"/>
      <c r="AH152" s="517">
        <v>0</v>
      </c>
      <c r="AI152" s="522" t="str">
        <f>+J152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AJ152" s="518">
        <v>0</v>
      </c>
      <c r="AK152" s="524"/>
      <c r="AL152" s="524"/>
      <c r="AM152" s="517" t="e">
        <f t="shared" ref="AM152" si="181">+(AK152/AH152)</f>
        <v>#DIV/0!</v>
      </c>
      <c r="AN152" s="517" t="e">
        <f t="shared" ref="AN152" si="182">+(AL152/AJ152)</f>
        <v>#DIV/0!</v>
      </c>
      <c r="AO152" s="517">
        <f t="shared" ref="AO152" si="183">+(AK152+AA152)/T152</f>
        <v>0.3</v>
      </c>
      <c r="AP152" s="517">
        <f t="shared" ref="AP152" si="184">+(AL152+AB152)/V152</f>
        <v>0.29761904761904762</v>
      </c>
      <c r="AQ152" s="517"/>
      <c r="AR152" s="517">
        <f>+AT152/V152</f>
        <v>0.29761904761904762</v>
      </c>
      <c r="AS152" s="529" t="str">
        <f>+U152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AT152" s="518">
        <f>59500000</f>
        <v>59500000</v>
      </c>
      <c r="AU152" s="524"/>
      <c r="AV152" s="524"/>
      <c r="AW152" s="517">
        <f t="shared" ref="AW152" si="185">+(AU152/AR152)</f>
        <v>0</v>
      </c>
      <c r="AX152" s="517">
        <f t="shared" ref="AX152" si="186">+(AV152/AT152)</f>
        <v>0</v>
      </c>
      <c r="AY152" s="517">
        <f t="shared" ref="AY152" si="187">+(AK152+AA152+AU152)/T152</f>
        <v>0.3</v>
      </c>
      <c r="AZ152" s="517">
        <f t="shared" ref="AZ152" si="188">+(AL152+AB152+AV152)/V152</f>
        <v>0.29761904761904762</v>
      </c>
      <c r="BA152" s="517"/>
      <c r="BB152" s="517">
        <v>0.4</v>
      </c>
      <c r="BC152" s="529" t="str">
        <f>+U152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BD152" s="518">
        <f>21420000+59500000</f>
        <v>80920000</v>
      </c>
      <c r="BE152" s="524"/>
      <c r="BF152" s="524"/>
      <c r="BG152" s="517">
        <f t="shared" ref="BG152" si="189">+(BE152/BB152)</f>
        <v>0</v>
      </c>
      <c r="BH152" s="517">
        <f t="shared" ref="BH152" si="190">+(BF152/BD152)</f>
        <v>0</v>
      </c>
      <c r="BI152" s="517">
        <f t="shared" ref="BI152" si="191">+(AK152+AA152+AU152+BE152)/T152</f>
        <v>0.3</v>
      </c>
      <c r="BJ152" s="517">
        <f t="shared" ref="BJ152" si="192">+(AL152+AB152+AV152+BF152)/V152</f>
        <v>0.29761904761904762</v>
      </c>
      <c r="BK152" s="517"/>
      <c r="BL152" s="580">
        <f t="shared" ref="BL152" si="193">IF(AND(X152=0,AA152=0),"No Prog ni Ejec",IF(X152=0,CONCATENATE("No Prog, Ejec=  ",AA152),AA152/X152))</f>
        <v>1.008</v>
      </c>
      <c r="BM152" s="580">
        <f t="shared" ref="BM152" si="194">IF(AND(Z152=0,AB152=0),"No Prog ni Ejec",IF(Z152=0,CONCATENATE("No Prog, Ejec=  ",AB152),AB152/Z152))</f>
        <v>1</v>
      </c>
      <c r="BN152" s="580" t="str">
        <f t="shared" ref="BN152" si="195">IF(AND(AH152=0,AK152=0),"No Prog ni Ejec",IF(AH152=0,CONCATENATE("No Prog, Ejec=  ",AK152),AK152/AH152))</f>
        <v>No Prog ni Ejec</v>
      </c>
      <c r="BO152" s="580" t="str">
        <f t="shared" ref="BO152" si="196">IF(AND(AJ152=0,AL152=0),"No Prog ni Ejec",IF(AJ152=0,CONCATENATE("No Prog, Ejec=  ",AL152),AL152/AJ152))</f>
        <v>No Prog ni Ejec</v>
      </c>
      <c r="BP152" s="580">
        <f t="shared" ref="BP152" si="197">IF(AND(AR152=0,AU152=0),"No Prog ni Ejec",IF(AR152=0,CONCATENATE("No Prog, Ejec=  ",AU152),AU152/AR152))</f>
        <v>0</v>
      </c>
      <c r="BQ152" s="580">
        <f t="shared" ref="BQ152" si="198">IF(AND(AT152=0,AV152=0),"No Prog ni Ejec",IF(AT152=0,CONCATENATE("No Prog, Ejec=  ",AV152),AV152/AT152))</f>
        <v>0</v>
      </c>
      <c r="BR152" s="580">
        <f t="shared" ref="BR152" si="199">IF(AND(BB152=0,BE152=0),"No Prog ni Ejec",IF(BB152=0,CONCATENATE("No Prog, Ejec=  ",BE152),BE152/BB152))</f>
        <v>0</v>
      </c>
      <c r="BS152" s="580">
        <f t="shared" ref="BS152" si="200">IF(AND(BD152=0,BF152=0),"No Prog ni Ejec",IF(BD152=0,CONCATENATE("No Prog, Ejec=  ",BF152),BF152/BD152))</f>
        <v>0</v>
      </c>
      <c r="BT152" s="525">
        <f t="shared" si="97"/>
        <v>0.3968253968253968</v>
      </c>
      <c r="BU152" s="526" t="str">
        <f>+U152</f>
        <v>Representar judicialmente a la Nación, el Ministerio de Salud y Protección Social/FOSYGA/ADRES respecto de las acciones judiciales a que haya lugar frente al contrato de administración y operación CN01-0132 de 2014 sobre el bien inmueble donde opera la Clínica El Bosque de Cartagena, forzosamente asignado al FOSYGA como resultado de la liquidación de CAPRECOM</v>
      </c>
      <c r="BV152" s="527">
        <f t="shared" si="96"/>
        <v>79333333.333333328</v>
      </c>
      <c r="BW152" s="524"/>
      <c r="BX152" s="524"/>
      <c r="BY152" s="524"/>
      <c r="BZ152" s="524"/>
      <c r="CA152" s="524"/>
      <c r="CB152" s="524"/>
      <c r="CC152" s="524"/>
    </row>
    <row r="153" spans="1:81" s="457" customFormat="1" ht="178.5" x14ac:dyDescent="0.25">
      <c r="A153" s="513">
        <v>11900</v>
      </c>
      <c r="B153" s="514" t="s">
        <v>349</v>
      </c>
      <c r="C153" s="515" t="s">
        <v>357</v>
      </c>
      <c r="D153" s="514" t="s">
        <v>146</v>
      </c>
      <c r="E153" s="515" t="s">
        <v>721</v>
      </c>
      <c r="F153" s="514" t="s">
        <v>709</v>
      </c>
      <c r="G153" s="516" t="s">
        <v>123</v>
      </c>
      <c r="H153" s="517">
        <v>1</v>
      </c>
      <c r="I153" s="515" t="s">
        <v>708</v>
      </c>
      <c r="J153" s="514" t="s">
        <v>374</v>
      </c>
      <c r="K153" s="518">
        <v>144328579</v>
      </c>
      <c r="L153" s="519">
        <v>1</v>
      </c>
      <c r="M153" s="514" t="s">
        <v>46</v>
      </c>
      <c r="N153" s="514" t="s">
        <v>74</v>
      </c>
      <c r="O153" s="514" t="s">
        <v>21</v>
      </c>
      <c r="P153" s="514" t="s">
        <v>36</v>
      </c>
      <c r="Q153" s="514" t="s">
        <v>229</v>
      </c>
      <c r="R153" s="514" t="s">
        <v>182</v>
      </c>
      <c r="S153" s="514" t="s">
        <v>99</v>
      </c>
      <c r="T153" s="519">
        <v>1</v>
      </c>
      <c r="U153" s="520" t="str">
        <f t="shared" si="118"/>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V153" s="521">
        <f t="shared" si="119"/>
        <v>144328579</v>
      </c>
      <c r="W153" s="522" t="s">
        <v>114</v>
      </c>
      <c r="X153" s="517">
        <v>0.25</v>
      </c>
      <c r="Y153" s="522" t="s">
        <v>374</v>
      </c>
      <c r="Z153" s="518">
        <f>+V153*X153</f>
        <v>36082144.75</v>
      </c>
      <c r="AA153" s="524">
        <v>0</v>
      </c>
      <c r="AB153" s="527">
        <v>0</v>
      </c>
      <c r="AC153" s="523">
        <f t="shared" si="98"/>
        <v>0</v>
      </c>
      <c r="AD153" s="517">
        <f t="shared" si="120"/>
        <v>0</v>
      </c>
      <c r="AE153" s="517">
        <f t="shared" si="121"/>
        <v>0</v>
      </c>
      <c r="AF153" s="517">
        <f t="shared" si="122"/>
        <v>0</v>
      </c>
      <c r="AG153" s="528"/>
      <c r="AH153" s="517">
        <v>0.25</v>
      </c>
      <c r="AI153" s="522" t="s">
        <v>374</v>
      </c>
      <c r="AJ153" s="518">
        <v>36082144.75</v>
      </c>
      <c r="AK153" s="524"/>
      <c r="AL153" s="524"/>
      <c r="AM153" s="517">
        <f>+(AK153/AH153)</f>
        <v>0</v>
      </c>
      <c r="AN153" s="517">
        <f>+(AL153/AJ153)</f>
        <v>0</v>
      </c>
      <c r="AO153" s="517">
        <f>+(AK153+AA153)/T153</f>
        <v>0</v>
      </c>
      <c r="AP153" s="517">
        <f>+(AL153+AB153)/V153</f>
        <v>0</v>
      </c>
      <c r="AQ153" s="517"/>
      <c r="AR153" s="517">
        <v>0.25</v>
      </c>
      <c r="AS153" s="522" t="s">
        <v>374</v>
      </c>
      <c r="AT153" s="518">
        <v>36082144.75</v>
      </c>
      <c r="AU153" s="524"/>
      <c r="AV153" s="524"/>
      <c r="AW153" s="517">
        <f t="shared" si="127"/>
        <v>0</v>
      </c>
      <c r="AX153" s="517">
        <f t="shared" si="128"/>
        <v>0</v>
      </c>
      <c r="AY153" s="517">
        <f t="shared" si="129"/>
        <v>0</v>
      </c>
      <c r="AZ153" s="517">
        <f t="shared" si="130"/>
        <v>0</v>
      </c>
      <c r="BA153" s="517"/>
      <c r="BB153" s="517">
        <v>0.25</v>
      </c>
      <c r="BC153" s="522" t="s">
        <v>374</v>
      </c>
      <c r="BD153" s="518">
        <v>36082144.75</v>
      </c>
      <c r="BE153" s="524"/>
      <c r="BF153" s="524"/>
      <c r="BG153" s="517">
        <f t="shared" si="131"/>
        <v>0</v>
      </c>
      <c r="BH153" s="517">
        <f t="shared" si="132"/>
        <v>0</v>
      </c>
      <c r="BI153" s="517">
        <f t="shared" si="133"/>
        <v>0</v>
      </c>
      <c r="BJ153" s="517">
        <f t="shared" si="134"/>
        <v>0</v>
      </c>
      <c r="BK153" s="517"/>
      <c r="BL153" s="580">
        <f t="shared" si="110"/>
        <v>0</v>
      </c>
      <c r="BM153" s="580">
        <f t="shared" si="111"/>
        <v>0</v>
      </c>
      <c r="BN153" s="580">
        <f t="shared" si="112"/>
        <v>0</v>
      </c>
      <c r="BO153" s="580">
        <f t="shared" si="113"/>
        <v>0</v>
      </c>
      <c r="BP153" s="580">
        <f t="shared" si="114"/>
        <v>0</v>
      </c>
      <c r="BQ153" s="580">
        <f t="shared" si="115"/>
        <v>0</v>
      </c>
      <c r="BR153" s="580">
        <f t="shared" si="116"/>
        <v>0</v>
      </c>
      <c r="BS153" s="580">
        <f t="shared" si="117"/>
        <v>0</v>
      </c>
      <c r="BT153" s="525">
        <f t="shared" si="97"/>
        <v>0.58333333333333337</v>
      </c>
      <c r="BU153" s="526" t="str">
        <f t="shared" si="135"/>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V153" s="527">
        <f t="shared" si="96"/>
        <v>84191671.083333328</v>
      </c>
      <c r="BW153" s="524"/>
      <c r="BX153" s="524"/>
      <c r="BY153" s="524"/>
      <c r="BZ153" s="524"/>
      <c r="CA153" s="524"/>
      <c r="CB153" s="524"/>
      <c r="CC153" s="524"/>
    </row>
    <row r="154" spans="1:81" s="457" customFormat="1" ht="102" x14ac:dyDescent="0.25">
      <c r="A154" s="587">
        <v>11900</v>
      </c>
      <c r="B154" s="588" t="s">
        <v>349</v>
      </c>
      <c r="C154" s="589" t="s">
        <v>357</v>
      </c>
      <c r="D154" s="588" t="s">
        <v>146</v>
      </c>
      <c r="E154" s="589" t="s">
        <v>710</v>
      </c>
      <c r="F154" s="588" t="s">
        <v>713</v>
      </c>
      <c r="G154" s="590" t="s">
        <v>123</v>
      </c>
      <c r="H154" s="591">
        <v>1</v>
      </c>
      <c r="I154" s="589" t="s">
        <v>711</v>
      </c>
      <c r="J154" s="588" t="s">
        <v>375</v>
      </c>
      <c r="K154" s="592">
        <v>163716856</v>
      </c>
      <c r="L154" s="593">
        <v>1</v>
      </c>
      <c r="M154" s="588" t="s">
        <v>46</v>
      </c>
      <c r="N154" s="588" t="s">
        <v>74</v>
      </c>
      <c r="O154" s="588" t="s">
        <v>21</v>
      </c>
      <c r="P154" s="588" t="s">
        <v>36</v>
      </c>
      <c r="Q154" s="588" t="s">
        <v>229</v>
      </c>
      <c r="R154" s="588" t="s">
        <v>714</v>
      </c>
      <c r="S154" s="588" t="s">
        <v>99</v>
      </c>
      <c r="T154" s="593">
        <v>1</v>
      </c>
      <c r="U154" s="594" t="str">
        <f t="shared" si="118"/>
        <v>Ejercer la representación judicial en los procesos penales en que sea parte la Administradora de los Recursos del Sistema General de Seguridad Social en Salud – Administradora de los Recursos del Sistema General de Seguridad Social en Salud - ADRES.</v>
      </c>
      <c r="V154" s="595">
        <f t="shared" si="119"/>
        <v>163716856</v>
      </c>
      <c r="W154" s="596" t="s">
        <v>114</v>
      </c>
      <c r="X154" s="591">
        <v>0.25</v>
      </c>
      <c r="Y154" s="596" t="s">
        <v>375</v>
      </c>
      <c r="Z154" s="592">
        <f>+X154*V154</f>
        <v>40929214</v>
      </c>
      <c r="AA154" s="600">
        <f>19/19*0.25</f>
        <v>0.25</v>
      </c>
      <c r="AB154" s="602">
        <v>18286302</v>
      </c>
      <c r="AC154" s="597">
        <f t="shared" si="98"/>
        <v>1</v>
      </c>
      <c r="AD154" s="591">
        <f t="shared" si="120"/>
        <v>0.44677872387190237</v>
      </c>
      <c r="AE154" s="591">
        <f t="shared" si="121"/>
        <v>0.25</v>
      </c>
      <c r="AF154" s="591">
        <f t="shared" si="122"/>
        <v>0.11169468096797559</v>
      </c>
      <c r="AG154" s="598"/>
      <c r="AH154" s="591">
        <v>0.25</v>
      </c>
      <c r="AI154" s="596" t="s">
        <v>375</v>
      </c>
      <c r="AJ154" s="592">
        <v>40929214</v>
      </c>
      <c r="AK154" s="599"/>
      <c r="AL154" s="599"/>
      <c r="AM154" s="591">
        <f t="shared" si="123"/>
        <v>0</v>
      </c>
      <c r="AN154" s="591">
        <f t="shared" si="124"/>
        <v>0</v>
      </c>
      <c r="AO154" s="591">
        <f t="shared" si="125"/>
        <v>0.25</v>
      </c>
      <c r="AP154" s="591">
        <f t="shared" si="126"/>
        <v>0.11169468096797559</v>
      </c>
      <c r="AQ154" s="591"/>
      <c r="AR154" s="591">
        <v>0.25</v>
      </c>
      <c r="AS154" s="596" t="s">
        <v>375</v>
      </c>
      <c r="AT154" s="592">
        <v>40929214</v>
      </c>
      <c r="AU154" s="599"/>
      <c r="AV154" s="599"/>
      <c r="AW154" s="591">
        <f t="shared" si="127"/>
        <v>0</v>
      </c>
      <c r="AX154" s="591">
        <f t="shared" si="128"/>
        <v>0</v>
      </c>
      <c r="AY154" s="591">
        <f t="shared" si="129"/>
        <v>0.25</v>
      </c>
      <c r="AZ154" s="591">
        <f t="shared" si="130"/>
        <v>0.11169468096797559</v>
      </c>
      <c r="BA154" s="591"/>
      <c r="BB154" s="591">
        <v>0.25</v>
      </c>
      <c r="BC154" s="596" t="s">
        <v>375</v>
      </c>
      <c r="BD154" s="592">
        <v>40929214</v>
      </c>
      <c r="BE154" s="599"/>
      <c r="BF154" s="599"/>
      <c r="BG154" s="591">
        <f t="shared" si="131"/>
        <v>0</v>
      </c>
      <c r="BH154" s="591">
        <f t="shared" si="132"/>
        <v>0</v>
      </c>
      <c r="BI154" s="591">
        <f t="shared" si="133"/>
        <v>0.25</v>
      </c>
      <c r="BJ154" s="591">
        <f t="shared" si="134"/>
        <v>0.11169468096797559</v>
      </c>
      <c r="BK154" s="591"/>
      <c r="BL154" s="625">
        <f t="shared" si="110"/>
        <v>1</v>
      </c>
      <c r="BM154" s="625">
        <f t="shared" si="111"/>
        <v>0.44677872387190237</v>
      </c>
      <c r="BN154" s="625">
        <f t="shared" si="112"/>
        <v>0</v>
      </c>
      <c r="BO154" s="625">
        <f t="shared" si="113"/>
        <v>0</v>
      </c>
      <c r="BP154" s="625">
        <f t="shared" si="114"/>
        <v>0</v>
      </c>
      <c r="BQ154" s="625">
        <f t="shared" si="115"/>
        <v>0</v>
      </c>
      <c r="BR154" s="625">
        <f t="shared" si="116"/>
        <v>0</v>
      </c>
      <c r="BS154" s="625">
        <f t="shared" si="117"/>
        <v>0</v>
      </c>
      <c r="BT154" s="600">
        <f t="shared" si="97"/>
        <v>0.58333333333333337</v>
      </c>
      <c r="BU154" s="601" t="str">
        <f t="shared" si="135"/>
        <v>Ejercer la representación judicial en los procesos penales en que sea parte la Administradora de los Recursos del Sistema General de Seguridad Social en Salud – Administradora de los Recursos del Sistema General de Seguridad Social en Salud - ADRES.</v>
      </c>
      <c r="BV154" s="602">
        <f t="shared" si="96"/>
        <v>95501499.333333328</v>
      </c>
      <c r="BW154" s="599"/>
      <c r="BX154" s="599"/>
      <c r="BY154" s="599"/>
      <c r="BZ154" s="599"/>
      <c r="CA154" s="599"/>
      <c r="CB154" s="599"/>
      <c r="CC154" s="524"/>
    </row>
    <row r="155" spans="1:81" s="457" customFormat="1" ht="89.25" x14ac:dyDescent="0.25">
      <c r="A155" s="515">
        <v>11700</v>
      </c>
      <c r="B155" s="514" t="s">
        <v>29</v>
      </c>
      <c r="C155" s="515" t="s">
        <v>328</v>
      </c>
      <c r="D155" s="514" t="s">
        <v>256</v>
      </c>
      <c r="E155" s="515" t="s">
        <v>928</v>
      </c>
      <c r="F155" s="514" t="s">
        <v>929</v>
      </c>
      <c r="G155" s="516" t="s">
        <v>123</v>
      </c>
      <c r="H155" s="517">
        <v>1</v>
      </c>
      <c r="I155" s="515" t="s">
        <v>930</v>
      </c>
      <c r="J155" s="514" t="s">
        <v>931</v>
      </c>
      <c r="K155" s="518">
        <f>59500000+238000000</f>
        <v>297500000</v>
      </c>
      <c r="L155" s="517">
        <v>1</v>
      </c>
      <c r="M155" s="514" t="s">
        <v>46</v>
      </c>
      <c r="N155" s="514" t="s">
        <v>68</v>
      </c>
      <c r="O155" s="514" t="s">
        <v>37</v>
      </c>
      <c r="P155" s="514" t="s">
        <v>38</v>
      </c>
      <c r="Q155" s="514" t="s">
        <v>217</v>
      </c>
      <c r="R155" s="514" t="s">
        <v>379</v>
      </c>
      <c r="S155" s="514" t="s">
        <v>104</v>
      </c>
      <c r="T155" s="517">
        <v>1</v>
      </c>
      <c r="U155" s="520" t="str">
        <f>+J155</f>
        <v>Asesoría Jurídica y acompañamiento para la entidad en relación a las actuaciones administrativas</v>
      </c>
      <c r="V155" s="521">
        <f>+K155</f>
        <v>297500000</v>
      </c>
      <c r="W155" s="522" t="s">
        <v>114</v>
      </c>
      <c r="X155" s="517">
        <v>0.2</v>
      </c>
      <c r="Y155" s="522" t="str">
        <f>+U155</f>
        <v>Asesoría Jurídica y acompañamiento para la entidad en relación a las actuaciones administrativas</v>
      </c>
      <c r="Z155" s="518">
        <v>59500000</v>
      </c>
      <c r="AA155" s="618">
        <f>(AB155/Z155)*20%</f>
        <v>0.2</v>
      </c>
      <c r="AB155" s="571">
        <v>59500000</v>
      </c>
      <c r="AC155" s="523">
        <f t="shared" ref="AC155" si="201">+(AA155/X155)</f>
        <v>1</v>
      </c>
      <c r="AD155" s="517">
        <f t="shared" ref="AD155" si="202">+(AB155/Z155)</f>
        <v>1</v>
      </c>
      <c r="AE155" s="517">
        <f t="shared" ref="AE155" si="203">+(AA155/T155)</f>
        <v>0.2</v>
      </c>
      <c r="AF155" s="517">
        <f t="shared" ref="AF155" si="204">+(AB155/V155)</f>
        <v>0.2</v>
      </c>
      <c r="AG155" s="524"/>
      <c r="AH155" s="517">
        <v>0.8</v>
      </c>
      <c r="AI155" s="522" t="str">
        <f>+J155</f>
        <v>Asesoría Jurídica y acompañamiento para la entidad en relación a las actuaciones administrativas</v>
      </c>
      <c r="AJ155" s="518">
        <v>238000000</v>
      </c>
      <c r="AK155" s="524"/>
      <c r="AL155" s="524"/>
      <c r="AM155" s="517">
        <f t="shared" ref="AM155" si="205">+(AK155/AH155)</f>
        <v>0</v>
      </c>
      <c r="AN155" s="517">
        <f t="shared" ref="AN155" si="206">+(AL155/AJ155)</f>
        <v>0</v>
      </c>
      <c r="AO155" s="517">
        <f t="shared" ref="AO155" si="207">+(AK155+AA155)/T155</f>
        <v>0.2</v>
      </c>
      <c r="AP155" s="517">
        <f t="shared" ref="AP155" si="208">+(AL155+AB155)/V155</f>
        <v>0.2</v>
      </c>
      <c r="AQ155" s="517"/>
      <c r="AR155" s="517">
        <v>0</v>
      </c>
      <c r="AS155" s="522" t="str">
        <f>+U155</f>
        <v>Asesoría Jurídica y acompañamiento para la entidad en relación a las actuaciones administrativas</v>
      </c>
      <c r="AT155" s="518">
        <v>0</v>
      </c>
      <c r="AU155" s="524"/>
      <c r="AV155" s="524"/>
      <c r="AW155" s="517" t="e">
        <f t="shared" ref="AW155" si="209">+(AU155/AR155)</f>
        <v>#DIV/0!</v>
      </c>
      <c r="AX155" s="517" t="e">
        <f t="shared" ref="AX155" si="210">+(AV155/AT155)</f>
        <v>#DIV/0!</v>
      </c>
      <c r="AY155" s="517">
        <f t="shared" ref="AY155" si="211">+(AK155+AA155+AU155)/T155</f>
        <v>0.2</v>
      </c>
      <c r="AZ155" s="517">
        <f t="shared" ref="AZ155" si="212">+(AL155+AB155+AV155)/V155</f>
        <v>0.2</v>
      </c>
      <c r="BA155" s="517"/>
      <c r="BB155" s="517">
        <v>0</v>
      </c>
      <c r="BC155" s="522" t="str">
        <f>+U155</f>
        <v>Asesoría Jurídica y acompañamiento para la entidad en relación a las actuaciones administrativas</v>
      </c>
      <c r="BD155" s="518">
        <v>0</v>
      </c>
      <c r="BE155" s="524"/>
      <c r="BF155" s="524"/>
      <c r="BG155" s="517" t="e">
        <f t="shared" ref="BG155" si="213">+(BE155/BB155)</f>
        <v>#DIV/0!</v>
      </c>
      <c r="BH155" s="517" t="e">
        <f t="shared" ref="BH155" si="214">+(BF155/BD155)</f>
        <v>#DIV/0!</v>
      </c>
      <c r="BI155" s="517">
        <f t="shared" ref="BI155" si="215">+(AK155+AA155+AU155+BE155)/T155</f>
        <v>0.2</v>
      </c>
      <c r="BJ155" s="517">
        <f t="shared" ref="BJ155" si="216">+(AL155+AB155+AV155+BF155)/V155</f>
        <v>0.2</v>
      </c>
      <c r="BK155" s="517"/>
      <c r="BL155" s="580">
        <f t="shared" ref="BL155" si="217">IF(AND(X155=0,AA155=0),"No Prog ni Ejec",IF(X155=0,CONCATENATE("No Prog, Ejec=  ",AA155),AA155/X155))</f>
        <v>1</v>
      </c>
      <c r="BM155" s="580">
        <f t="shared" ref="BM155" si="218">IF(AND(Z155=0,AB155=0),"No Prog ni Ejec",IF(Z155=0,CONCATENATE("No Prog, Ejec=  ",AB155),AB155/Z155))</f>
        <v>1</v>
      </c>
      <c r="BN155" s="580">
        <f t="shared" ref="BN155" si="219">IF(AND(AH155=0,AK155=0),"No Prog ni Ejec",IF(AH155=0,CONCATENATE("No Prog, Ejec=  ",AK155),AK155/AH155))</f>
        <v>0</v>
      </c>
      <c r="BO155" s="580">
        <f t="shared" ref="BO155" si="220">IF(AND(AJ155=0,AL155=0),"No Prog ni Ejec",IF(AJ155=0,CONCATENATE("No Prog, Ejec=  ",AL155),AL155/AJ155))</f>
        <v>0</v>
      </c>
      <c r="BP155" s="580" t="str">
        <f t="shared" ref="BP155" si="221">IF(AND(AR155=0,AU155=0),"No Prog ni Ejec",IF(AR155=0,CONCATENATE("No Prog, Ejec=  ",AU155),AU155/AR155))</f>
        <v>No Prog ni Ejec</v>
      </c>
      <c r="BQ155" s="580" t="str">
        <f t="shared" ref="BQ155" si="222">IF(AND(AT155=0,AV155=0),"No Prog ni Ejec",IF(AT155=0,CONCATENATE("No Prog, Ejec=  ",AV155),AV155/AT155))</f>
        <v>No Prog ni Ejec</v>
      </c>
      <c r="BR155" s="580" t="str">
        <f t="shared" ref="BR155" si="223">IF(AND(BB155=0,BE155=0),"No Prog ni Ejec",IF(BB155=0,CONCATENATE("No Prog, Ejec=  ",BE155),BE155/BB155))</f>
        <v>No Prog ni Ejec</v>
      </c>
      <c r="BS155" s="580" t="str">
        <f t="shared" ref="BS155" si="224">IF(AND(BD155=0,BF155=0),"No Prog ni Ejec",IF(BD155=0,CONCATENATE("No Prog, Ejec=  ",BF155),BF155/BD155))</f>
        <v>No Prog ni Ejec</v>
      </c>
      <c r="BT155" s="525">
        <f t="shared" si="97"/>
        <v>1</v>
      </c>
      <c r="BU155" s="526" t="str">
        <f>+U155</f>
        <v>Asesoría Jurídica y acompañamiento para la entidad en relación a las actuaciones administrativas</v>
      </c>
      <c r="BV155" s="527">
        <f t="shared" si="96"/>
        <v>297500000</v>
      </c>
      <c r="BW155" s="524"/>
      <c r="BX155" s="524"/>
      <c r="BY155" s="524"/>
      <c r="BZ155" s="524"/>
      <c r="CA155" s="524"/>
      <c r="CB155" s="524"/>
      <c r="CC155" s="524"/>
    </row>
    <row r="156" spans="1:81" s="457" customFormat="1" ht="63.75" x14ac:dyDescent="0.25">
      <c r="A156" s="515">
        <v>11400</v>
      </c>
      <c r="B156" s="514" t="s">
        <v>26</v>
      </c>
      <c r="C156" s="515" t="s">
        <v>242</v>
      </c>
      <c r="D156" s="514" t="s">
        <v>144</v>
      </c>
      <c r="E156" s="515" t="s">
        <v>952</v>
      </c>
      <c r="F156" s="514" t="s">
        <v>953</v>
      </c>
      <c r="G156" s="516" t="s">
        <v>123</v>
      </c>
      <c r="H156" s="517">
        <v>1</v>
      </c>
      <c r="I156" s="515" t="s">
        <v>954</v>
      </c>
      <c r="J156" s="514" t="s">
        <v>955</v>
      </c>
      <c r="K156" s="576">
        <f>31009020+23256765</f>
        <v>54265785</v>
      </c>
      <c r="L156" s="616">
        <v>1</v>
      </c>
      <c r="M156" s="514" t="s">
        <v>46</v>
      </c>
      <c r="N156" s="514" t="s">
        <v>68</v>
      </c>
      <c r="O156" s="514" t="s">
        <v>34</v>
      </c>
      <c r="P156" s="514" t="s">
        <v>36</v>
      </c>
      <c r="Q156" s="514" t="s">
        <v>225</v>
      </c>
      <c r="R156" s="514" t="s">
        <v>956</v>
      </c>
      <c r="S156" s="514" t="s">
        <v>99</v>
      </c>
      <c r="T156" s="603">
        <v>1</v>
      </c>
      <c r="U156" s="623" t="str">
        <f>+J156</f>
        <v>Cierre convenio con Cafesalud</v>
      </c>
      <c r="V156" s="1080">
        <f>+K156</f>
        <v>54265785</v>
      </c>
      <c r="W156" s="522" t="s">
        <v>114</v>
      </c>
      <c r="X156" s="616">
        <v>0.43</v>
      </c>
      <c r="Y156" s="623" t="str">
        <f>+U156</f>
        <v>Cierre convenio con Cafesalud</v>
      </c>
      <c r="Z156" s="576">
        <f>+V156*X156</f>
        <v>23334287.550000001</v>
      </c>
      <c r="AA156" s="577">
        <f>(AB156/Z156)*43%</f>
        <v>0.42857142857142855</v>
      </c>
      <c r="AB156" s="576">
        <v>23256765</v>
      </c>
      <c r="AC156" s="523">
        <f>+(AA156/X156)</f>
        <v>0.99667774086378735</v>
      </c>
      <c r="AD156" s="523">
        <f t="shared" ref="AD156" si="225">+(AB156/Z156)</f>
        <v>0.99667774086378735</v>
      </c>
      <c r="AE156" s="523">
        <f t="shared" ref="AE156" si="226">+(AA156/T156)</f>
        <v>0.42857142857142855</v>
      </c>
      <c r="AF156" s="523">
        <f t="shared" ref="AF156" si="227">+(AB156/V156)</f>
        <v>0.42857142857142855</v>
      </c>
      <c r="AG156" s="623"/>
      <c r="AH156" s="616">
        <v>0.56999999999999995</v>
      </c>
      <c r="AI156" s="623" t="str">
        <f>+U156</f>
        <v>Cierre convenio con Cafesalud</v>
      </c>
      <c r="AJ156" s="576">
        <f>+V156*AH156</f>
        <v>30931497.449999996</v>
      </c>
      <c r="AK156" s="623"/>
      <c r="AL156" s="623"/>
      <c r="AM156" s="523">
        <f t="shared" ref="AM156" si="228">+(AK156/AH156)</f>
        <v>0</v>
      </c>
      <c r="AN156" s="523">
        <f t="shared" ref="AN156" si="229">+(AL156/AJ156)</f>
        <v>0</v>
      </c>
      <c r="AO156" s="523">
        <f t="shared" ref="AO156" si="230">+(AK156+AA156)/T156</f>
        <v>0.42857142857142855</v>
      </c>
      <c r="AP156" s="523">
        <f t="shared" ref="AP156" si="231">+(AL156+AB156)/V156</f>
        <v>0.42857142857142855</v>
      </c>
      <c r="AQ156" s="523"/>
      <c r="AR156" s="616">
        <v>0</v>
      </c>
      <c r="AS156" s="623" t="str">
        <f>+U156</f>
        <v>Cierre convenio con Cafesalud</v>
      </c>
      <c r="AT156" s="576">
        <v>0</v>
      </c>
      <c r="AU156" s="577"/>
      <c r="AV156" s="576"/>
      <c r="AW156" s="523" t="e">
        <f t="shared" ref="AW156" si="232">+(AU156/AR156)</f>
        <v>#DIV/0!</v>
      </c>
      <c r="AX156" s="523" t="e">
        <f t="shared" ref="AX156" si="233">+(AV156/AT156)</f>
        <v>#DIV/0!</v>
      </c>
      <c r="AY156" s="523">
        <f t="shared" ref="AY156" si="234">+(AK156+AA156+AU156)/T156</f>
        <v>0.42857142857142855</v>
      </c>
      <c r="AZ156" s="523">
        <f t="shared" ref="AZ156" si="235">+(AL156+AB156+AV156)/V156</f>
        <v>0.42857142857142855</v>
      </c>
      <c r="BA156" s="523"/>
      <c r="BB156" s="616">
        <v>0</v>
      </c>
      <c r="BC156" s="623" t="str">
        <f>+U156</f>
        <v>Cierre convenio con Cafesalud</v>
      </c>
      <c r="BD156" s="576">
        <v>0</v>
      </c>
      <c r="BE156" s="577"/>
      <c r="BF156" s="576"/>
      <c r="BG156" s="517" t="e">
        <f t="shared" ref="BG156" si="236">+(BE156/BB156)</f>
        <v>#DIV/0!</v>
      </c>
      <c r="BH156" s="517" t="e">
        <f t="shared" ref="BH156" si="237">+(BF156/BD156)</f>
        <v>#DIV/0!</v>
      </c>
      <c r="BI156" s="517">
        <f t="shared" ref="BI156" si="238">+(AK156+AA156+AU156+BE156)/T156</f>
        <v>0.42857142857142855</v>
      </c>
      <c r="BJ156" s="517">
        <f t="shared" ref="BJ156" si="239">+(AL156+AB156+AV156+BF156)/V156</f>
        <v>0.42857142857142855</v>
      </c>
      <c r="BK156" s="517"/>
      <c r="BL156" s="580">
        <f t="shared" ref="BL156" si="240">IF(AND(X156=0,AA156=0),"No Prog ni Ejec",IF(X156=0,CONCATENATE("No Prog, Ejec=  ",AA156),AA156/X156))</f>
        <v>0.99667774086378735</v>
      </c>
      <c r="BM156" s="580">
        <f t="shared" ref="BM156" si="241">IF(AND(Z156=0,AB156=0),"No Prog ni Ejec",IF(Z156=0,CONCATENATE("No Prog, Ejec=  ",AB156),AB156/Z156))</f>
        <v>0.99667774086378735</v>
      </c>
      <c r="BN156" s="580">
        <f t="shared" ref="BN156" si="242">IF(AND(AH156=0,AK156=0),"No Prog ni Ejec",IF(AH156=0,CONCATENATE("No Prog, Ejec=  ",AK156),AK156/AH156))</f>
        <v>0</v>
      </c>
      <c r="BO156" s="580">
        <f t="shared" ref="BO156" si="243">IF(AND(AJ156=0,AL156=0),"No Prog ni Ejec",IF(AJ156=0,CONCATENATE("No Prog, Ejec=  ",AL156),AL156/AJ156))</f>
        <v>0</v>
      </c>
      <c r="BP156" s="580" t="str">
        <f t="shared" ref="BP156" si="244">IF(AND(AR156=0,AU156=0),"No Prog ni Ejec",IF(AR156=0,CONCATENATE("No Prog, Ejec=  ",AU156),AU156/AR156))</f>
        <v>No Prog ni Ejec</v>
      </c>
      <c r="BQ156" s="580" t="str">
        <f t="shared" ref="BQ156" si="245">IF(AND(AT156=0,AV156=0),"No Prog ni Ejec",IF(AT156=0,CONCATENATE("No Prog, Ejec=  ",AV156),AV156/AT156))</f>
        <v>No Prog ni Ejec</v>
      </c>
      <c r="BR156" s="580" t="str">
        <f t="shared" ref="BR156" si="246">IF(AND(BB156=0,BE156=0),"No Prog ni Ejec",IF(BB156=0,CONCATENATE("No Prog, Ejec=  ",BE156),BE156/BB156))</f>
        <v>No Prog ni Ejec</v>
      </c>
      <c r="BS156" s="580" t="str">
        <f t="shared" ref="BS156" si="247">IF(AND(BD156=0,BF156=0),"No Prog ni Ejec",IF(BD156=0,CONCATENATE("No Prog, Ejec=  ",BF156),BF156/BD156))</f>
        <v>No Prog ni Ejec</v>
      </c>
      <c r="BT156" s="549">
        <f t="shared" ref="BT156" si="248">+(X156+AH156+(AR156/3))</f>
        <v>1</v>
      </c>
      <c r="BU156" s="623" t="str">
        <f>+U156</f>
        <v>Cierre convenio con Cafesalud</v>
      </c>
      <c r="BV156" s="623"/>
      <c r="BW156" s="623"/>
      <c r="BX156" s="623"/>
      <c r="BY156" s="623"/>
      <c r="BZ156" s="623"/>
      <c r="CA156" s="623"/>
      <c r="CB156" s="623"/>
      <c r="CC156" s="623"/>
    </row>
    <row r="157" spans="1:81" x14ac:dyDescent="0.25">
      <c r="A157" s="500"/>
      <c r="B157" s="500"/>
      <c r="C157" s="500"/>
      <c r="D157" s="500"/>
      <c r="E157" s="500"/>
      <c r="F157" s="500"/>
      <c r="G157" s="501"/>
      <c r="H157" s="163"/>
      <c r="I157" s="163"/>
      <c r="J157" s="163"/>
      <c r="K157" s="502"/>
      <c r="L157" s="163"/>
      <c r="M157" s="163"/>
      <c r="N157" s="163"/>
      <c r="O157" s="163"/>
      <c r="P157" s="163"/>
      <c r="Q157" s="163"/>
      <c r="R157" s="163"/>
      <c r="S157" s="163"/>
      <c r="T157" s="163"/>
      <c r="U157" s="163"/>
      <c r="V157" s="503"/>
      <c r="W157" s="163"/>
      <c r="X157" s="504"/>
      <c r="Y157" s="500"/>
      <c r="Z157" s="500"/>
      <c r="AA157" s="500"/>
      <c r="AB157" s="505"/>
      <c r="AC157" s="500"/>
      <c r="AD157" s="500"/>
      <c r="AE157" s="500"/>
      <c r="AF157" s="500"/>
      <c r="AG157" s="500"/>
      <c r="AH157" s="500"/>
      <c r="AI157" s="500"/>
      <c r="AJ157" s="500"/>
      <c r="AK157" s="500"/>
      <c r="AL157" s="500"/>
      <c r="AM157" s="500"/>
      <c r="AN157" s="500"/>
      <c r="AO157" s="500"/>
      <c r="AP157" s="500"/>
      <c r="AQ157" s="500"/>
      <c r="AR157" s="500"/>
      <c r="AS157" s="500"/>
      <c r="AT157" s="500"/>
      <c r="AU157" s="500"/>
      <c r="AV157" s="500"/>
      <c r="AW157" s="500"/>
      <c r="AX157" s="500"/>
      <c r="AY157" s="500"/>
      <c r="AZ157" s="500"/>
      <c r="BA157" s="500"/>
      <c r="BB157" s="500"/>
      <c r="BC157" s="500"/>
      <c r="BD157" s="500"/>
      <c r="BE157" s="500"/>
      <c r="BF157" s="500"/>
      <c r="BG157" s="500"/>
      <c r="BH157" s="500"/>
      <c r="BI157" s="500"/>
      <c r="BJ157" s="500"/>
      <c r="BK157" s="500"/>
      <c r="BL157" s="506"/>
      <c r="BM157" s="506"/>
      <c r="BN157" s="507"/>
      <c r="BO157" s="507"/>
      <c r="BP157" s="507"/>
      <c r="BQ157" s="507"/>
      <c r="BR157" s="500"/>
      <c r="BS157" s="500"/>
      <c r="BT157" s="500"/>
      <c r="BU157" s="500"/>
      <c r="BV157" s="500"/>
      <c r="BW157" s="500"/>
      <c r="BX157" s="500"/>
      <c r="BY157" s="500"/>
      <c r="BZ157" s="500"/>
      <c r="CA157" s="500"/>
      <c r="CB157" s="500"/>
      <c r="CC157" s="500"/>
    </row>
    <row r="158" spans="1:81" x14ac:dyDescent="0.25">
      <c r="A158" s="531"/>
      <c r="B158" s="500"/>
      <c r="C158" s="500"/>
      <c r="D158" s="500"/>
      <c r="E158" s="500"/>
      <c r="F158" s="500"/>
      <c r="G158" s="501"/>
      <c r="H158" s="163"/>
      <c r="I158" s="163"/>
      <c r="J158" s="163"/>
      <c r="K158" s="163"/>
      <c r="L158" s="508"/>
      <c r="M158" s="509"/>
      <c r="N158" s="163"/>
      <c r="O158" s="163"/>
      <c r="P158" s="163"/>
      <c r="Q158" s="163"/>
      <c r="R158" s="163"/>
      <c r="S158" s="163"/>
      <c r="T158" s="163"/>
      <c r="U158" s="163"/>
      <c r="V158" s="503"/>
      <c r="W158" s="163"/>
      <c r="X158" s="500"/>
      <c r="Y158" s="500"/>
      <c r="Z158" s="500"/>
      <c r="AA158" s="500"/>
      <c r="AB158" s="505"/>
      <c r="AC158" s="500"/>
      <c r="AD158" s="500"/>
      <c r="AE158" s="500"/>
      <c r="AF158" s="500"/>
      <c r="AG158" s="500"/>
      <c r="AH158" s="500"/>
      <c r="AI158" s="500"/>
      <c r="AJ158" s="500"/>
      <c r="AK158" s="500"/>
      <c r="AL158" s="500"/>
      <c r="AM158" s="500"/>
      <c r="AN158" s="500"/>
      <c r="AO158" s="500"/>
      <c r="AP158" s="500"/>
      <c r="AQ158" s="500"/>
      <c r="AR158" s="500"/>
      <c r="AS158" s="500"/>
      <c r="AT158" s="500"/>
      <c r="AU158" s="500"/>
      <c r="AV158" s="500"/>
      <c r="AW158" s="500"/>
      <c r="AX158" s="500"/>
      <c r="AY158" s="500"/>
      <c r="AZ158" s="500"/>
      <c r="BA158" s="500"/>
      <c r="BB158" s="500"/>
      <c r="BC158" s="500"/>
      <c r="BD158" s="500"/>
      <c r="BE158" s="500"/>
      <c r="BF158" s="500"/>
      <c r="BG158" s="500"/>
      <c r="BH158" s="500"/>
      <c r="BI158" s="500"/>
      <c r="BJ158" s="500"/>
      <c r="BK158" s="500"/>
      <c r="BL158" s="500"/>
      <c r="BM158" s="500"/>
      <c r="BN158" s="500"/>
      <c r="BO158" s="500"/>
      <c r="BP158" s="500"/>
      <c r="BQ158" s="500"/>
      <c r="BR158" s="500"/>
      <c r="BS158" s="500"/>
      <c r="BT158" s="500"/>
      <c r="BU158" s="500"/>
      <c r="BV158" s="500"/>
      <c r="BW158" s="500"/>
      <c r="BX158" s="500"/>
      <c r="BY158" s="500"/>
      <c r="BZ158" s="500"/>
      <c r="CA158" s="500"/>
      <c r="CB158" s="500"/>
      <c r="CC158" s="500"/>
    </row>
    <row r="159" spans="1:81" x14ac:dyDescent="0.25">
      <c r="A159" s="500"/>
      <c r="B159" s="500"/>
      <c r="C159" s="500"/>
      <c r="D159" s="500"/>
      <c r="E159" s="500"/>
      <c r="F159" s="163"/>
      <c r="G159" s="501"/>
      <c r="H159" s="163"/>
      <c r="I159" s="163"/>
      <c r="J159" s="163"/>
      <c r="K159" s="163"/>
      <c r="L159" s="163"/>
      <c r="M159" s="163"/>
      <c r="N159" s="163"/>
      <c r="O159" s="163"/>
      <c r="P159" s="163"/>
      <c r="Q159" s="163"/>
      <c r="R159" s="163"/>
      <c r="S159" s="163"/>
      <c r="T159" s="163"/>
      <c r="U159" s="163"/>
      <c r="V159" s="503"/>
      <c r="W159" s="163"/>
      <c r="X159" s="500"/>
      <c r="Y159" s="500"/>
      <c r="Z159" s="500"/>
      <c r="AA159" s="500"/>
      <c r="AB159" s="510"/>
      <c r="AC159" s="500"/>
      <c r="AD159" s="500"/>
      <c r="AE159" s="500"/>
      <c r="AF159" s="500"/>
      <c r="AG159" s="500"/>
      <c r="AH159" s="500"/>
      <c r="AI159" s="500"/>
      <c r="AJ159" s="500"/>
      <c r="AK159" s="500"/>
      <c r="AL159" s="500"/>
      <c r="AM159" s="500"/>
      <c r="AN159" s="500"/>
      <c r="AO159" s="500"/>
      <c r="AP159" s="500"/>
      <c r="AQ159" s="500"/>
      <c r="AR159" s="500"/>
      <c r="AS159" s="500"/>
      <c r="AT159" s="500"/>
      <c r="AU159" s="500"/>
      <c r="AV159" s="500"/>
      <c r="AW159" s="500"/>
      <c r="AX159" s="500"/>
      <c r="AY159" s="500"/>
      <c r="AZ159" s="500"/>
      <c r="BA159" s="500"/>
      <c r="BB159" s="500"/>
      <c r="BC159" s="500"/>
      <c r="BD159" s="500"/>
      <c r="BE159" s="500"/>
      <c r="BF159" s="500"/>
      <c r="BG159" s="500"/>
      <c r="BH159" s="500"/>
      <c r="BI159" s="500"/>
      <c r="BJ159" s="500"/>
      <c r="BK159" s="500"/>
      <c r="BL159" s="500"/>
      <c r="BM159" s="500"/>
      <c r="BN159" s="500"/>
      <c r="BO159" s="500"/>
      <c r="BP159" s="500"/>
      <c r="BQ159" s="500"/>
      <c r="BR159" s="500"/>
      <c r="BS159" s="500"/>
      <c r="BT159" s="500"/>
      <c r="BU159" s="500"/>
      <c r="BV159" s="500"/>
      <c r="BW159" s="500"/>
      <c r="BX159" s="500"/>
      <c r="BY159" s="500"/>
      <c r="BZ159" s="500"/>
      <c r="CA159" s="500"/>
      <c r="CB159" s="500"/>
      <c r="CC159" s="500"/>
    </row>
    <row r="160" spans="1:81" x14ac:dyDescent="0.25">
      <c r="A160" s="500"/>
      <c r="B160" s="500"/>
      <c r="C160" s="500"/>
      <c r="D160" s="500"/>
      <c r="E160" s="500"/>
      <c r="F160" s="500"/>
      <c r="G160" s="501"/>
      <c r="H160" s="163"/>
      <c r="I160" s="163"/>
      <c r="J160" s="163"/>
      <c r="K160" s="163"/>
      <c r="L160" s="163"/>
      <c r="M160" s="163"/>
      <c r="N160" s="163"/>
      <c r="O160" s="163"/>
      <c r="P160" s="163"/>
      <c r="Q160" s="163"/>
      <c r="R160" s="163"/>
      <c r="S160" s="163"/>
      <c r="T160" s="163"/>
      <c r="U160" s="163"/>
      <c r="V160" s="163"/>
      <c r="W160" s="163"/>
      <c r="X160" s="500"/>
      <c r="Y160" s="500"/>
      <c r="Z160" s="500"/>
      <c r="AA160" s="500"/>
      <c r="AB160" s="511"/>
      <c r="AC160" s="500"/>
      <c r="AD160" s="500"/>
      <c r="AE160" s="500"/>
      <c r="AF160" s="500"/>
      <c r="AG160" s="500"/>
      <c r="AH160" s="500"/>
      <c r="AI160" s="500"/>
      <c r="AJ160" s="500"/>
      <c r="AK160" s="500"/>
      <c r="AL160" s="500"/>
      <c r="AM160" s="500"/>
      <c r="AN160" s="500"/>
      <c r="AO160" s="500"/>
      <c r="AP160" s="500"/>
      <c r="AQ160" s="500"/>
      <c r="AR160" s="500"/>
      <c r="AS160" s="500"/>
      <c r="AT160" s="500"/>
      <c r="AU160" s="500"/>
      <c r="AV160" s="500"/>
      <c r="AW160" s="500"/>
      <c r="AX160" s="500"/>
      <c r="AY160" s="500"/>
      <c r="AZ160" s="500"/>
      <c r="BA160" s="500"/>
      <c r="BB160" s="500"/>
      <c r="BC160" s="500"/>
      <c r="BD160" s="500"/>
      <c r="BE160" s="500"/>
      <c r="BF160" s="500"/>
      <c r="BG160" s="500"/>
      <c r="BH160" s="500"/>
      <c r="BI160" s="500"/>
      <c r="BJ160" s="500"/>
      <c r="BK160" s="500"/>
      <c r="BL160" s="500"/>
      <c r="BM160" s="500"/>
      <c r="BN160" s="500"/>
      <c r="BO160" s="500"/>
      <c r="BP160" s="500"/>
      <c r="BQ160" s="500"/>
      <c r="BR160" s="500"/>
      <c r="BS160" s="500"/>
      <c r="BT160" s="500"/>
      <c r="BU160" s="500"/>
      <c r="BV160" s="500"/>
      <c r="BW160" s="500"/>
      <c r="BX160" s="500"/>
      <c r="BY160" s="500"/>
      <c r="BZ160" s="500"/>
      <c r="CA160" s="500"/>
      <c r="CB160" s="500"/>
      <c r="CC160" s="500"/>
    </row>
    <row r="161" spans="1:81" x14ac:dyDescent="0.25">
      <c r="A161" s="500"/>
      <c r="B161" s="500"/>
      <c r="C161" s="500"/>
      <c r="D161" s="500"/>
      <c r="E161" s="500"/>
      <c r="F161" s="500"/>
      <c r="G161" s="501"/>
      <c r="H161" s="163"/>
      <c r="I161" s="163"/>
      <c r="J161" s="163"/>
      <c r="K161" s="163"/>
      <c r="L161" s="163"/>
      <c r="M161" s="163"/>
      <c r="N161" s="163"/>
      <c r="O161" s="163"/>
      <c r="P161" s="163"/>
      <c r="Q161" s="163"/>
      <c r="R161" s="163"/>
      <c r="S161" s="163"/>
      <c r="T161" s="163"/>
      <c r="U161" s="163"/>
      <c r="V161" s="163"/>
      <c r="W161" s="163"/>
      <c r="X161" s="500"/>
      <c r="Y161" s="500"/>
      <c r="Z161" s="500"/>
      <c r="AA161" s="500"/>
      <c r="AB161" s="510"/>
      <c r="AC161" s="500"/>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0"/>
      <c r="AY161" s="500"/>
      <c r="AZ161" s="500"/>
      <c r="BA161" s="500"/>
      <c r="BB161" s="500"/>
      <c r="BC161" s="500"/>
      <c r="BD161" s="500"/>
      <c r="BE161" s="500"/>
      <c r="BF161" s="500"/>
      <c r="BG161" s="500"/>
      <c r="BH161" s="500"/>
      <c r="BI161" s="500"/>
      <c r="BJ161" s="500"/>
      <c r="BK161" s="500"/>
      <c r="BL161" s="500"/>
      <c r="BM161" s="500"/>
      <c r="BN161" s="500"/>
      <c r="BO161" s="500"/>
      <c r="BP161" s="500"/>
      <c r="BQ161" s="500"/>
      <c r="BR161" s="500"/>
      <c r="BS161" s="500"/>
      <c r="BT161" s="500"/>
      <c r="BU161" s="500"/>
      <c r="BV161" s="500"/>
      <c r="BW161" s="500"/>
      <c r="BX161" s="500"/>
      <c r="BY161" s="500"/>
      <c r="BZ161" s="500"/>
      <c r="CA161" s="500"/>
      <c r="CB161" s="500"/>
      <c r="CC161" s="500"/>
    </row>
    <row r="162" spans="1:81" x14ac:dyDescent="0.25">
      <c r="A162" s="500"/>
      <c r="B162" s="500"/>
      <c r="C162" s="500"/>
      <c r="D162" s="500"/>
      <c r="E162" s="500"/>
      <c r="F162" s="500"/>
      <c r="G162" s="501"/>
      <c r="H162" s="163"/>
      <c r="I162" s="163"/>
      <c r="J162" s="163"/>
      <c r="K162" s="502"/>
      <c r="L162" s="163"/>
      <c r="M162" s="163"/>
      <c r="N162" s="163"/>
      <c r="O162" s="163"/>
      <c r="P162" s="163"/>
      <c r="Q162" s="163"/>
      <c r="R162" s="163"/>
      <c r="S162" s="163"/>
      <c r="T162" s="163"/>
      <c r="U162" s="163"/>
      <c r="V162" s="163"/>
      <c r="W162" s="163"/>
      <c r="X162" s="500"/>
      <c r="Y162" s="500"/>
      <c r="Z162" s="500"/>
      <c r="AA162" s="500"/>
      <c r="AB162" s="505"/>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500"/>
      <c r="AY162" s="500"/>
      <c r="AZ162" s="500"/>
      <c r="BA162" s="500"/>
      <c r="BB162" s="500"/>
      <c r="BC162" s="500"/>
      <c r="BD162" s="500"/>
      <c r="BE162" s="500"/>
      <c r="BF162" s="500"/>
      <c r="BG162" s="500"/>
      <c r="BH162" s="500"/>
      <c r="BI162" s="500"/>
      <c r="BJ162" s="500"/>
      <c r="BK162" s="500"/>
      <c r="BL162" s="500"/>
      <c r="BM162" s="500"/>
      <c r="BN162" s="500"/>
      <c r="BO162" s="500"/>
      <c r="BP162" s="500"/>
      <c r="BQ162" s="500"/>
      <c r="BR162" s="500"/>
      <c r="BS162" s="500"/>
      <c r="BT162" s="500"/>
      <c r="BU162" s="500"/>
      <c r="BV162" s="500"/>
      <c r="BW162" s="500"/>
      <c r="BX162" s="500"/>
      <c r="BY162" s="500"/>
      <c r="BZ162" s="500"/>
      <c r="CA162" s="500"/>
      <c r="CB162" s="500"/>
      <c r="CC162" s="500"/>
    </row>
    <row r="163" spans="1:81" x14ac:dyDescent="0.25">
      <c r="A163" s="500"/>
      <c r="B163" s="500"/>
      <c r="C163" s="500"/>
      <c r="D163" s="500"/>
      <c r="E163" s="500"/>
      <c r="F163" s="500"/>
      <c r="G163" s="501"/>
      <c r="H163" s="163"/>
      <c r="I163" s="163"/>
      <c r="J163" s="163"/>
      <c r="K163" s="163"/>
      <c r="L163" s="163"/>
      <c r="M163" s="163"/>
      <c r="N163" s="163"/>
      <c r="O163" s="163"/>
      <c r="P163" s="163"/>
      <c r="Q163" s="163"/>
      <c r="R163" s="163"/>
      <c r="S163" s="163"/>
      <c r="T163" s="163"/>
      <c r="U163" s="163"/>
      <c r="V163" s="163"/>
      <c r="W163" s="163"/>
      <c r="X163" s="500"/>
      <c r="Y163" s="500"/>
      <c r="Z163" s="500"/>
      <c r="AA163" s="500"/>
      <c r="AB163" s="505"/>
      <c r="AC163" s="500"/>
      <c r="AD163" s="500"/>
      <c r="AE163" s="500"/>
      <c r="AF163" s="500"/>
      <c r="AG163" s="500"/>
      <c r="AH163" s="500"/>
      <c r="AI163" s="500"/>
      <c r="AJ163" s="500"/>
      <c r="AK163" s="500"/>
      <c r="AL163" s="500"/>
      <c r="AM163" s="500"/>
      <c r="AN163" s="500"/>
      <c r="AO163" s="500"/>
      <c r="AP163" s="500"/>
      <c r="AQ163" s="500"/>
      <c r="AR163" s="500"/>
      <c r="AS163" s="500"/>
      <c r="AT163" s="500"/>
      <c r="AU163" s="500"/>
      <c r="AV163" s="500"/>
      <c r="AW163" s="500"/>
      <c r="AX163" s="500"/>
      <c r="AY163" s="500"/>
      <c r="AZ163" s="500"/>
      <c r="BA163" s="500"/>
      <c r="BB163" s="500"/>
      <c r="BC163" s="500"/>
      <c r="BD163" s="500"/>
      <c r="BE163" s="500"/>
      <c r="BF163" s="500"/>
      <c r="BG163" s="500"/>
      <c r="BH163" s="500"/>
      <c r="BI163" s="500"/>
      <c r="BJ163" s="500"/>
      <c r="BK163" s="500"/>
      <c r="BL163" s="500"/>
      <c r="BM163" s="500"/>
      <c r="BN163" s="500"/>
      <c r="BO163" s="500"/>
      <c r="BP163" s="500"/>
      <c r="BQ163" s="500"/>
      <c r="BR163" s="500"/>
      <c r="BS163" s="500"/>
      <c r="BT163" s="500"/>
      <c r="BU163" s="500"/>
      <c r="BV163" s="500"/>
      <c r="BW163" s="500"/>
      <c r="BX163" s="500"/>
      <c r="BY163" s="500"/>
      <c r="BZ163" s="500"/>
      <c r="CA163" s="500"/>
      <c r="CB163" s="500"/>
      <c r="CC163" s="500"/>
    </row>
    <row r="164" spans="1:81" x14ac:dyDescent="0.25">
      <c r="A164" s="500"/>
      <c r="B164" s="500"/>
      <c r="C164" s="500"/>
      <c r="D164" s="500"/>
      <c r="E164" s="500"/>
      <c r="F164" s="500"/>
      <c r="G164" s="501"/>
      <c r="H164" s="163"/>
      <c r="I164" s="163"/>
      <c r="J164" s="163"/>
      <c r="K164" s="163"/>
      <c r="L164" s="163"/>
      <c r="M164" s="163"/>
      <c r="N164" s="163"/>
      <c r="O164" s="163"/>
      <c r="P164" s="163"/>
      <c r="Q164" s="163"/>
      <c r="R164" s="163"/>
      <c r="S164" s="163"/>
      <c r="T164" s="163"/>
      <c r="U164" s="163"/>
      <c r="V164" s="163"/>
      <c r="W164" s="163"/>
      <c r="X164" s="500"/>
      <c r="Y164" s="500"/>
      <c r="Z164" s="500"/>
      <c r="AA164" s="500"/>
      <c r="AB164" s="51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500"/>
      <c r="AY164" s="500"/>
      <c r="AZ164" s="500"/>
      <c r="BA164" s="500"/>
      <c r="BB164" s="500"/>
      <c r="BC164" s="500"/>
      <c r="BD164" s="500"/>
      <c r="BE164" s="500"/>
      <c r="BF164" s="500"/>
      <c r="BG164" s="500"/>
      <c r="BH164" s="500"/>
      <c r="BI164" s="500"/>
      <c r="BJ164" s="500"/>
      <c r="BK164" s="500"/>
      <c r="BL164" s="500"/>
      <c r="BM164" s="500"/>
      <c r="BN164" s="500"/>
      <c r="BO164" s="500"/>
      <c r="BP164" s="500"/>
      <c r="BQ164" s="500"/>
      <c r="BR164" s="500"/>
      <c r="BS164" s="500"/>
      <c r="BT164" s="500"/>
      <c r="BU164" s="500"/>
      <c r="BV164" s="500"/>
      <c r="BW164" s="500"/>
      <c r="BX164" s="500"/>
      <c r="BY164" s="500"/>
      <c r="BZ164" s="500"/>
      <c r="CA164" s="500"/>
      <c r="CB164" s="500"/>
      <c r="CC164" s="500"/>
    </row>
    <row r="165" spans="1:81" x14ac:dyDescent="0.25">
      <c r="A165" s="500"/>
      <c r="B165" s="500"/>
      <c r="C165" s="500"/>
      <c r="D165" s="500"/>
      <c r="E165" s="500"/>
      <c r="F165" s="500"/>
      <c r="G165" s="501"/>
      <c r="H165" s="163"/>
      <c r="I165" s="163"/>
      <c r="J165" s="163"/>
      <c r="K165" s="163"/>
      <c r="L165" s="163"/>
      <c r="M165" s="163"/>
      <c r="N165" s="163"/>
      <c r="O165" s="163"/>
      <c r="P165" s="163"/>
      <c r="Q165" s="163"/>
      <c r="R165" s="163"/>
      <c r="S165" s="163"/>
      <c r="T165" s="163"/>
      <c r="U165" s="163"/>
      <c r="V165" s="163"/>
      <c r="W165" s="163"/>
      <c r="X165" s="500"/>
      <c r="Y165" s="500"/>
      <c r="Z165" s="500"/>
      <c r="AA165" s="500"/>
      <c r="AB165" s="500"/>
      <c r="AC165" s="500"/>
      <c r="AD165" s="500"/>
      <c r="AE165" s="500"/>
      <c r="AF165" s="500"/>
      <c r="AG165" s="500"/>
      <c r="AH165" s="500"/>
      <c r="AI165" s="500"/>
      <c r="AJ165" s="500"/>
      <c r="AK165" s="500"/>
      <c r="AL165" s="500"/>
      <c r="AM165" s="500"/>
      <c r="AN165" s="500"/>
      <c r="AO165" s="500"/>
      <c r="AP165" s="500"/>
      <c r="AQ165" s="500"/>
      <c r="AR165" s="500"/>
      <c r="AS165" s="500"/>
      <c r="AT165" s="500"/>
      <c r="AU165" s="500"/>
      <c r="AV165" s="500"/>
      <c r="AW165" s="500"/>
      <c r="AX165" s="500"/>
      <c r="AY165" s="500"/>
      <c r="AZ165" s="500"/>
      <c r="BA165" s="500"/>
      <c r="BB165" s="500"/>
      <c r="BC165" s="500"/>
      <c r="BD165" s="500"/>
      <c r="BE165" s="500"/>
      <c r="BF165" s="500"/>
      <c r="BG165" s="500"/>
      <c r="BH165" s="500"/>
      <c r="BI165" s="500"/>
      <c r="BJ165" s="500"/>
      <c r="BK165" s="500"/>
      <c r="BL165" s="500"/>
      <c r="BM165" s="500"/>
      <c r="BN165" s="500"/>
      <c r="BO165" s="500"/>
      <c r="BP165" s="500"/>
      <c r="BQ165" s="500"/>
      <c r="BR165" s="500"/>
      <c r="BS165" s="500"/>
      <c r="BT165" s="500"/>
      <c r="BU165" s="500"/>
      <c r="BV165" s="500"/>
      <c r="BW165" s="500"/>
      <c r="BX165" s="500"/>
      <c r="BY165" s="500"/>
      <c r="BZ165" s="500"/>
      <c r="CA165" s="500"/>
      <c r="CB165" s="500"/>
      <c r="CC165" s="500"/>
    </row>
    <row r="166" spans="1:81" x14ac:dyDescent="0.25">
      <c r="A166" s="163"/>
      <c r="B166" s="163"/>
      <c r="C166" s="163"/>
      <c r="D166" s="163"/>
      <c r="E166" s="163"/>
      <c r="F166" s="163"/>
      <c r="G166" s="512"/>
      <c r="H166" s="163"/>
      <c r="I166" s="163"/>
      <c r="J166" s="163"/>
      <c r="K166" s="163"/>
      <c r="L166" s="163"/>
      <c r="M166" s="163"/>
      <c r="N166" s="163"/>
      <c r="O166" s="163"/>
      <c r="P166" s="163"/>
      <c r="Q166" s="163"/>
      <c r="R166" s="163"/>
      <c r="S166" s="163"/>
      <c r="T166" s="163"/>
      <c r="U166" s="163"/>
      <c r="V166" s="163"/>
      <c r="W166" s="163"/>
      <c r="X166" s="500"/>
      <c r="Y166" s="500"/>
      <c r="Z166" s="500"/>
      <c r="AA166" s="500"/>
      <c r="AB166" s="500"/>
      <c r="AC166" s="500"/>
      <c r="AD166" s="500"/>
      <c r="AE166" s="500"/>
      <c r="AF166" s="500"/>
      <c r="AG166" s="500"/>
      <c r="AH166" s="500"/>
      <c r="AI166" s="500"/>
      <c r="AJ166" s="500"/>
      <c r="AK166" s="500"/>
      <c r="AL166" s="500"/>
      <c r="AM166" s="500"/>
      <c r="AN166" s="500"/>
      <c r="AO166" s="500"/>
      <c r="AP166" s="500"/>
      <c r="AQ166" s="500"/>
      <c r="AR166" s="500"/>
      <c r="AS166" s="500"/>
      <c r="AT166" s="500"/>
      <c r="AU166" s="500"/>
      <c r="AV166" s="500"/>
      <c r="AW166" s="500"/>
      <c r="AX166" s="500"/>
      <c r="AY166" s="500"/>
      <c r="AZ166" s="500"/>
      <c r="BA166" s="500"/>
      <c r="BB166" s="500"/>
      <c r="BC166" s="500"/>
      <c r="BD166" s="500"/>
      <c r="BE166" s="500"/>
      <c r="BF166" s="500"/>
      <c r="BG166" s="500"/>
      <c r="BH166" s="500"/>
      <c r="BI166" s="500"/>
      <c r="BJ166" s="500"/>
      <c r="BK166" s="500"/>
      <c r="BL166" s="500"/>
      <c r="BM166" s="500"/>
      <c r="BN166" s="500"/>
      <c r="BO166" s="500"/>
      <c r="BP166" s="500"/>
      <c r="BQ166" s="500"/>
      <c r="BR166" s="500"/>
      <c r="BS166" s="500"/>
      <c r="BT166" s="500"/>
      <c r="BU166" s="500"/>
      <c r="BV166" s="500"/>
      <c r="BW166" s="500"/>
      <c r="BX166" s="500"/>
      <c r="BY166" s="500"/>
      <c r="BZ166" s="500"/>
      <c r="CA166" s="500"/>
      <c r="CB166" s="500"/>
      <c r="CC166" s="500"/>
    </row>
    <row r="167" spans="1:81" x14ac:dyDescent="0.25">
      <c r="A167" s="163"/>
      <c r="B167" s="163"/>
      <c r="C167" s="163"/>
      <c r="D167" s="163"/>
      <c r="E167" s="163"/>
      <c r="F167" s="163"/>
      <c r="G167" s="512"/>
      <c r="H167" s="163"/>
      <c r="I167" s="163"/>
      <c r="J167" s="163"/>
      <c r="K167" s="163"/>
      <c r="L167" s="163"/>
      <c r="M167" s="163"/>
      <c r="N167" s="163"/>
      <c r="O167" s="163"/>
      <c r="P167" s="163"/>
      <c r="Q167" s="163"/>
      <c r="R167" s="163"/>
      <c r="S167" s="163"/>
      <c r="T167" s="163"/>
      <c r="U167" s="163"/>
      <c r="V167" s="163"/>
      <c r="W167" s="163"/>
      <c r="X167" s="500"/>
      <c r="Y167" s="500"/>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c r="AT167" s="500"/>
      <c r="AU167" s="500"/>
      <c r="AV167" s="500"/>
      <c r="AW167" s="500"/>
      <c r="AX167" s="500"/>
      <c r="AY167" s="500"/>
      <c r="AZ167" s="500"/>
      <c r="BA167" s="500"/>
      <c r="BB167" s="500"/>
      <c r="BC167" s="500"/>
      <c r="BD167" s="500"/>
      <c r="BE167" s="500"/>
      <c r="BF167" s="500"/>
      <c r="BG167" s="500"/>
      <c r="BH167" s="500"/>
      <c r="BI167" s="500"/>
      <c r="BJ167" s="500"/>
      <c r="BK167" s="500"/>
      <c r="BL167" s="500"/>
      <c r="BM167" s="500"/>
      <c r="BN167" s="500"/>
      <c r="BO167" s="500"/>
      <c r="BP167" s="500"/>
      <c r="BQ167" s="500"/>
      <c r="BR167" s="500"/>
      <c r="BS167" s="500"/>
      <c r="BT167" s="500"/>
      <c r="BU167" s="500"/>
      <c r="BV167" s="500"/>
      <c r="BW167" s="500"/>
      <c r="BX167" s="500"/>
      <c r="BY167" s="500"/>
      <c r="BZ167" s="500"/>
      <c r="CA167" s="500"/>
      <c r="CB167" s="500"/>
      <c r="CC167" s="500"/>
    </row>
    <row r="168" spans="1:81" x14ac:dyDescent="0.25">
      <c r="A168" s="163"/>
      <c r="B168" s="163"/>
      <c r="C168" s="163"/>
      <c r="D168" s="163"/>
      <c r="E168" s="163"/>
      <c r="F168" s="163"/>
      <c r="G168" s="512"/>
      <c r="H168" s="163"/>
      <c r="I168" s="163"/>
      <c r="J168" s="163"/>
      <c r="K168" s="163"/>
      <c r="L168" s="163"/>
      <c r="M168" s="163"/>
      <c r="N168" s="163"/>
      <c r="O168" s="163"/>
      <c r="P168" s="163"/>
      <c r="Q168" s="163"/>
      <c r="R168" s="163"/>
      <c r="S168" s="163"/>
      <c r="T168" s="163"/>
      <c r="U168" s="163"/>
      <c r="V168" s="163"/>
      <c r="W168" s="163"/>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500"/>
      <c r="AV168" s="500"/>
      <c r="AW168" s="500"/>
      <c r="AX168" s="500"/>
      <c r="AY168" s="500"/>
      <c r="AZ168" s="500"/>
      <c r="BA168" s="500"/>
      <c r="BB168" s="500"/>
      <c r="BC168" s="500"/>
      <c r="BD168" s="500"/>
      <c r="BE168" s="500"/>
      <c r="BF168" s="500"/>
      <c r="BG168" s="500"/>
      <c r="BH168" s="500"/>
      <c r="BI168" s="500"/>
      <c r="BJ168" s="500"/>
      <c r="BK168" s="500"/>
      <c r="BL168" s="500"/>
      <c r="BM168" s="500"/>
      <c r="BN168" s="500"/>
      <c r="BO168" s="500"/>
      <c r="BP168" s="500"/>
      <c r="BQ168" s="500"/>
      <c r="BR168" s="500"/>
      <c r="BS168" s="500"/>
      <c r="BT168" s="500"/>
      <c r="BU168" s="500"/>
      <c r="BV168" s="500"/>
      <c r="BW168" s="500"/>
      <c r="BX168" s="500"/>
      <c r="BY168" s="500"/>
      <c r="BZ168" s="500"/>
      <c r="CA168" s="500"/>
      <c r="CB168" s="500"/>
      <c r="CC168" s="500"/>
    </row>
    <row r="169" spans="1:81" x14ac:dyDescent="0.25">
      <c r="A169" s="163"/>
      <c r="B169" s="163"/>
      <c r="C169" s="163"/>
      <c r="D169" s="163"/>
      <c r="E169" s="163"/>
      <c r="F169" s="163"/>
      <c r="G169" s="512"/>
      <c r="H169" s="163"/>
      <c r="I169" s="163"/>
      <c r="J169" s="163"/>
      <c r="K169" s="163"/>
      <c r="L169" s="163"/>
      <c r="M169" s="163"/>
      <c r="N169" s="163"/>
      <c r="O169" s="163"/>
      <c r="P169" s="163"/>
      <c r="Q169" s="163"/>
      <c r="R169" s="163"/>
      <c r="S169" s="163"/>
      <c r="T169" s="163"/>
      <c r="U169" s="163"/>
      <c r="V169" s="163"/>
      <c r="W169" s="163"/>
      <c r="X169" s="500"/>
      <c r="Y169" s="500"/>
      <c r="Z169" s="500"/>
      <c r="AA169" s="500"/>
      <c r="AB169" s="500"/>
      <c r="AC169" s="500"/>
      <c r="AD169" s="500"/>
      <c r="AE169" s="500"/>
      <c r="AF169" s="500"/>
      <c r="AG169" s="500"/>
      <c r="AH169" s="500"/>
      <c r="AI169" s="500"/>
      <c r="AJ169" s="500"/>
      <c r="AK169" s="500"/>
      <c r="AL169" s="500"/>
      <c r="AM169" s="500"/>
      <c r="AN169" s="500"/>
      <c r="AO169" s="500"/>
      <c r="AP169" s="500"/>
      <c r="AQ169" s="500"/>
      <c r="AR169" s="500"/>
      <c r="AS169" s="500"/>
      <c r="AT169" s="500"/>
      <c r="AU169" s="500"/>
      <c r="AV169" s="500"/>
      <c r="AW169" s="500"/>
      <c r="AX169" s="500"/>
      <c r="AY169" s="500"/>
      <c r="AZ169" s="500"/>
      <c r="BA169" s="500"/>
      <c r="BB169" s="500"/>
      <c r="BC169" s="500"/>
      <c r="BD169" s="500"/>
      <c r="BE169" s="500"/>
      <c r="BF169" s="500"/>
      <c r="BG169" s="500"/>
      <c r="BH169" s="500"/>
      <c r="BI169" s="500"/>
      <c r="BJ169" s="500"/>
      <c r="BK169" s="500"/>
      <c r="BL169" s="500"/>
      <c r="BM169" s="500"/>
      <c r="BN169" s="500"/>
      <c r="BO169" s="500"/>
      <c r="BP169" s="500"/>
      <c r="BQ169" s="500"/>
      <c r="BR169" s="500"/>
      <c r="BS169" s="500"/>
      <c r="BT169" s="500"/>
      <c r="BU169" s="500"/>
      <c r="BV169" s="500"/>
      <c r="BW169" s="500"/>
      <c r="BX169" s="500"/>
      <c r="BY169" s="500"/>
      <c r="BZ169" s="500"/>
      <c r="CA169" s="500"/>
      <c r="CB169" s="500"/>
      <c r="CC169" s="500"/>
    </row>
    <row r="170" spans="1:81" x14ac:dyDescent="0.25">
      <c r="A170" s="163"/>
      <c r="B170" s="163"/>
      <c r="C170" s="163"/>
      <c r="D170" s="163"/>
      <c r="E170" s="163"/>
      <c r="F170" s="163"/>
      <c r="G170" s="512"/>
      <c r="H170" s="163"/>
      <c r="I170" s="163"/>
      <c r="J170" s="163"/>
      <c r="K170" s="163"/>
      <c r="L170" s="163"/>
      <c r="M170" s="163"/>
      <c r="N170" s="163"/>
      <c r="O170" s="163"/>
      <c r="P170" s="163"/>
      <c r="Q170" s="163"/>
      <c r="R170" s="163"/>
      <c r="S170" s="163"/>
      <c r="T170" s="163"/>
      <c r="U170" s="163"/>
      <c r="V170" s="163"/>
      <c r="W170" s="163"/>
      <c r="X170" s="500"/>
      <c r="Y170" s="500"/>
      <c r="Z170" s="500"/>
      <c r="AA170" s="500"/>
      <c r="AB170" s="500"/>
      <c r="AC170" s="500"/>
      <c r="AD170" s="500"/>
      <c r="AE170" s="500"/>
      <c r="AF170" s="500"/>
      <c r="AG170" s="500"/>
      <c r="AH170" s="500"/>
      <c r="AI170" s="500"/>
      <c r="AJ170" s="500"/>
      <c r="AK170" s="500"/>
      <c r="AL170" s="500"/>
      <c r="AM170" s="500"/>
      <c r="AN170" s="500"/>
      <c r="AO170" s="500"/>
      <c r="AP170" s="500"/>
      <c r="AQ170" s="500"/>
      <c r="AR170" s="500"/>
      <c r="AS170" s="500"/>
      <c r="AT170" s="500"/>
      <c r="AU170" s="500"/>
      <c r="AV170" s="500"/>
      <c r="AW170" s="500"/>
      <c r="AX170" s="500"/>
      <c r="AY170" s="500"/>
      <c r="AZ170" s="500"/>
      <c r="BA170" s="500"/>
      <c r="BB170" s="500"/>
      <c r="BC170" s="500"/>
      <c r="BD170" s="500"/>
      <c r="BE170" s="500"/>
      <c r="BF170" s="500"/>
      <c r="BG170" s="500"/>
      <c r="BH170" s="500"/>
      <c r="BI170" s="500"/>
      <c r="BJ170" s="500"/>
      <c r="BK170" s="500"/>
      <c r="BL170" s="500"/>
      <c r="BM170" s="500"/>
      <c r="BN170" s="500"/>
      <c r="BO170" s="500"/>
      <c r="BP170" s="500"/>
      <c r="BQ170" s="500"/>
      <c r="BR170" s="500"/>
      <c r="BS170" s="500"/>
      <c r="BT170" s="500"/>
      <c r="BU170" s="500"/>
      <c r="BV170" s="500"/>
      <c r="BW170" s="500"/>
      <c r="BX170" s="500"/>
      <c r="BY170" s="500"/>
      <c r="BZ170" s="500"/>
      <c r="CA170" s="500"/>
      <c r="CB170" s="500"/>
      <c r="CC170" s="500"/>
    </row>
    <row r="171" spans="1:81" x14ac:dyDescent="0.25">
      <c r="A171" s="163"/>
      <c r="B171" s="163"/>
      <c r="C171" s="163"/>
      <c r="D171" s="163"/>
      <c r="E171" s="163"/>
      <c r="F171" s="163"/>
      <c r="G171" s="512"/>
      <c r="H171" s="163"/>
      <c r="I171" s="163"/>
      <c r="J171" s="163"/>
      <c r="K171" s="163"/>
      <c r="L171" s="163"/>
      <c r="M171" s="163"/>
      <c r="N171" s="163"/>
      <c r="O171" s="163"/>
      <c r="P171" s="163"/>
      <c r="Q171" s="163"/>
      <c r="R171" s="163"/>
      <c r="S171" s="163"/>
      <c r="T171" s="163"/>
      <c r="U171" s="163"/>
      <c r="V171" s="163"/>
      <c r="W171" s="163"/>
      <c r="X171" s="500"/>
      <c r="Y171" s="500"/>
      <c r="Z171" s="500"/>
      <c r="AA171" s="500"/>
      <c r="AB171" s="500"/>
      <c r="AC171" s="500"/>
      <c r="AD171" s="500"/>
      <c r="AE171" s="500"/>
      <c r="AF171" s="500"/>
      <c r="AG171" s="500"/>
      <c r="AH171" s="500"/>
      <c r="AI171" s="500"/>
      <c r="AJ171" s="500"/>
      <c r="AK171" s="500"/>
      <c r="AL171" s="500"/>
      <c r="AM171" s="500"/>
      <c r="AN171" s="500"/>
      <c r="AO171" s="500"/>
      <c r="AP171" s="500"/>
      <c r="AQ171" s="500"/>
      <c r="AR171" s="500"/>
      <c r="AS171" s="500"/>
      <c r="AT171" s="500"/>
      <c r="AU171" s="500"/>
      <c r="AV171" s="500"/>
      <c r="AW171" s="500"/>
      <c r="AX171" s="500"/>
      <c r="AY171" s="500"/>
      <c r="AZ171" s="500"/>
      <c r="BA171" s="500"/>
      <c r="BB171" s="500"/>
      <c r="BC171" s="500"/>
      <c r="BD171" s="500"/>
      <c r="BE171" s="500"/>
      <c r="BF171" s="500"/>
      <c r="BG171" s="500"/>
      <c r="BH171" s="500"/>
      <c r="BI171" s="500"/>
      <c r="BJ171" s="500"/>
      <c r="BK171" s="500"/>
      <c r="BL171" s="500"/>
      <c r="BM171" s="500"/>
      <c r="BN171" s="500"/>
      <c r="BO171" s="500"/>
      <c r="BP171" s="500"/>
      <c r="BQ171" s="500"/>
      <c r="BR171" s="500"/>
      <c r="BS171" s="500"/>
      <c r="BT171" s="500"/>
      <c r="BU171" s="500"/>
      <c r="BV171" s="500"/>
      <c r="BW171" s="500"/>
      <c r="BX171" s="500"/>
      <c r="BY171" s="500"/>
      <c r="BZ171" s="500"/>
      <c r="CA171" s="500"/>
      <c r="CB171" s="500"/>
      <c r="CC171" s="500"/>
    </row>
  </sheetData>
  <autoFilter ref="A7:BT161"/>
  <mergeCells count="182">
    <mergeCell ref="AH6:AQ6"/>
    <mergeCell ref="AR6:BA6"/>
    <mergeCell ref="BL6:BS6"/>
    <mergeCell ref="BB6:BK6"/>
    <mergeCell ref="BT6:CC6"/>
    <mergeCell ref="A1:B3"/>
    <mergeCell ref="C1:E1"/>
    <mergeCell ref="F1:BN1"/>
    <mergeCell ref="BO1:BS3"/>
    <mergeCell ref="C2:E2"/>
    <mergeCell ref="F2:F3"/>
    <mergeCell ref="G2:BL3"/>
    <mergeCell ref="BM2:BM3"/>
    <mergeCell ref="BN2:BN3"/>
    <mergeCell ref="C3:E3"/>
    <mergeCell ref="D5:M5"/>
    <mergeCell ref="X6:AG6"/>
    <mergeCell ref="BO132:BO134"/>
    <mergeCell ref="BQ132:BQ134"/>
    <mergeCell ref="BS132:BS134"/>
    <mergeCell ref="AF132:AF134"/>
    <mergeCell ref="AL132:AL134"/>
    <mergeCell ref="AN132:AN134"/>
    <mergeCell ref="AP132:AP134"/>
    <mergeCell ref="AV132:AV134"/>
    <mergeCell ref="AX132:AX134"/>
    <mergeCell ref="AZ132:AZ134"/>
    <mergeCell ref="F9:F11"/>
    <mergeCell ref="M148:M149"/>
    <mergeCell ref="E137:E138"/>
    <mergeCell ref="E146:E147"/>
    <mergeCell ref="E9:E11"/>
    <mergeCell ref="F150:F152"/>
    <mergeCell ref="BF132:BF134"/>
    <mergeCell ref="BH132:BH134"/>
    <mergeCell ref="BJ132:BJ134"/>
    <mergeCell ref="L132:L134"/>
    <mergeCell ref="F148:F149"/>
    <mergeCell ref="F146:F147"/>
    <mergeCell ref="G146:G147"/>
    <mergeCell ref="I146:I147"/>
    <mergeCell ref="I148:I149"/>
    <mergeCell ref="J148:J149"/>
    <mergeCell ref="M146:M147"/>
    <mergeCell ref="K146:K147"/>
    <mergeCell ref="J9:J11"/>
    <mergeCell ref="G148:G149"/>
    <mergeCell ref="J146:J147"/>
    <mergeCell ref="K9:K11"/>
    <mergeCell ref="L9:L11"/>
    <mergeCell ref="M9:M11"/>
    <mergeCell ref="J137:J138"/>
    <mergeCell ref="K137:K138"/>
    <mergeCell ref="M137:M138"/>
    <mergeCell ref="F137:F138"/>
    <mergeCell ref="N137:N138"/>
    <mergeCell ref="O137:O138"/>
    <mergeCell ref="I137:I138"/>
    <mergeCell ref="G137:G138"/>
    <mergeCell ref="N146:N147"/>
    <mergeCell ref="K126:K130"/>
    <mergeCell ref="L126:L130"/>
    <mergeCell ref="E148:E149"/>
    <mergeCell ref="AL9:AL11"/>
    <mergeCell ref="AN9:AN11"/>
    <mergeCell ref="AD126:AD130"/>
    <mergeCell ref="AF126:AF130"/>
    <mergeCell ref="AX146:AX147"/>
    <mergeCell ref="P146:P147"/>
    <mergeCell ref="W146:W147"/>
    <mergeCell ref="AB9:AB11"/>
    <mergeCell ref="N148:N149"/>
    <mergeCell ref="O148:O149"/>
    <mergeCell ref="P148:P149"/>
    <mergeCell ref="Q148:Q149"/>
    <mergeCell ref="O9:O11"/>
    <mergeCell ref="AF9:AF11"/>
    <mergeCell ref="AI9:AI11"/>
    <mergeCell ref="U9:U11"/>
    <mergeCell ref="V9:V11"/>
    <mergeCell ref="W9:W11"/>
    <mergeCell ref="Y9:Y11"/>
    <mergeCell ref="Z9:Z11"/>
    <mergeCell ref="I9:I11"/>
    <mergeCell ref="BM148:BM149"/>
    <mergeCell ref="BO148:BO149"/>
    <mergeCell ref="BQ148:BQ149"/>
    <mergeCell ref="W68:W69"/>
    <mergeCell ref="K132:K134"/>
    <mergeCell ref="AB132:AB134"/>
    <mergeCell ref="P9:P11"/>
    <mergeCell ref="Q9:Q11"/>
    <mergeCell ref="AP146:AP147"/>
    <mergeCell ref="AX9:AX11"/>
    <mergeCell ref="U148:U149"/>
    <mergeCell ref="V148:V149"/>
    <mergeCell ref="Q146:Q147"/>
    <mergeCell ref="U146:U147"/>
    <mergeCell ref="V146:V147"/>
    <mergeCell ref="BD146:BD147"/>
    <mergeCell ref="AS146:AS147"/>
    <mergeCell ref="AT146:AT147"/>
    <mergeCell ref="AZ146:AZ147"/>
    <mergeCell ref="BH146:BH147"/>
    <mergeCell ref="BJ146:BJ147"/>
    <mergeCell ref="BM146:BM147"/>
    <mergeCell ref="K148:K149"/>
    <mergeCell ref="W148:W149"/>
    <mergeCell ref="BJ148:BJ149"/>
    <mergeCell ref="O146:O147"/>
    <mergeCell ref="AZ9:AZ11"/>
    <mergeCell ref="AB126:AB130"/>
    <mergeCell ref="AD148:AD149"/>
    <mergeCell ref="AF148:AF149"/>
    <mergeCell ref="AN148:AN149"/>
    <mergeCell ref="AP148:AP149"/>
    <mergeCell ref="AX148:AX149"/>
    <mergeCell ref="AZ148:AZ149"/>
    <mergeCell ref="Q68:Q69"/>
    <mergeCell ref="R68:R69"/>
    <mergeCell ref="S68:S69"/>
    <mergeCell ref="Q137:Q138"/>
    <mergeCell ref="P137:P138"/>
    <mergeCell ref="AS9:AS11"/>
    <mergeCell ref="V126:V130"/>
    <mergeCell ref="N68:N69"/>
    <mergeCell ref="O68:O69"/>
    <mergeCell ref="P68:P69"/>
    <mergeCell ref="N9:N11"/>
    <mergeCell ref="BU9:BU11"/>
    <mergeCell ref="BU146:BU147"/>
    <mergeCell ref="BC146:BC147"/>
    <mergeCell ref="BD9:BD11"/>
    <mergeCell ref="AJ9:AJ11"/>
    <mergeCell ref="BJ9:BJ11"/>
    <mergeCell ref="BM9:BM11"/>
    <mergeCell ref="AV9:AV11"/>
    <mergeCell ref="AT9:AT11"/>
    <mergeCell ref="BC9:BC11"/>
    <mergeCell ref="AP9:AP11"/>
    <mergeCell ref="BM126:BM130"/>
    <mergeCell ref="BO126:BO130"/>
    <mergeCell ref="BQ126:BQ130"/>
    <mergeCell ref="BO146:BO147"/>
    <mergeCell ref="BQ146:BQ147"/>
    <mergeCell ref="AG146:AG147"/>
    <mergeCell ref="AN146:AN147"/>
    <mergeCell ref="AD9:AD11"/>
    <mergeCell ref="BM132:BM134"/>
    <mergeCell ref="BU148:BU149"/>
    <mergeCell ref="BQ9:BQ11"/>
    <mergeCell ref="BS9:BS11"/>
    <mergeCell ref="BO9:BO11"/>
    <mergeCell ref="Y146:Y147"/>
    <mergeCell ref="Y148:Y149"/>
    <mergeCell ref="Z146:Z147"/>
    <mergeCell ref="Z148:Z149"/>
    <mergeCell ref="AB146:AB147"/>
    <mergeCell ref="AB148:AB149"/>
    <mergeCell ref="AD146:AD147"/>
    <mergeCell ref="AF146:AF147"/>
    <mergeCell ref="AI146:AI147"/>
    <mergeCell ref="AJ146:AJ147"/>
    <mergeCell ref="AL146:AL147"/>
    <mergeCell ref="BF9:BF11"/>
    <mergeCell ref="BH9:BH11"/>
    <mergeCell ref="BS126:BS130"/>
    <mergeCell ref="Z132:Z134"/>
    <mergeCell ref="BS146:BS147"/>
    <mergeCell ref="BS148:BS149"/>
    <mergeCell ref="AD132:AD134"/>
    <mergeCell ref="AI148:AI149"/>
    <mergeCell ref="BH148:BH149"/>
    <mergeCell ref="A68:A69"/>
    <mergeCell ref="B68:B69"/>
    <mergeCell ref="C68:C69"/>
    <mergeCell ref="D68:D69"/>
    <mergeCell ref="E68:E69"/>
    <mergeCell ref="F68:F69"/>
    <mergeCell ref="G68:G69"/>
    <mergeCell ref="H68:H69"/>
    <mergeCell ref="M68:M69"/>
  </mergeCells>
  <conditionalFormatting sqref="BL8:BS9 BL113:BS126 BL132:BS132 BL135:BS141 BL10:BL11 BN10:BN11 BP10:BP11 BR10:BR11 BL12:BS67 BL143:BS146 BL148:BS148 BL147 BN147 BP147 BR147 BL133:BL134 BN133:BN134 BP133:BP134 BR133:BR134 BL127:BL131 BN127:BN131 BP127:BP131 BR127:BR131 BL150:BS154 BL70:BS110">
    <cfRule type="cellIs" dxfId="9711" priority="85" operator="equal">
      <formula>#REF!</formula>
    </cfRule>
    <cfRule type="cellIs" dxfId="9710" priority="86" operator="greaterThan">
      <formula>1</formula>
    </cfRule>
    <cfRule type="cellIs" dxfId="9709" priority="87" operator="equal">
      <formula>100%</formula>
    </cfRule>
    <cfRule type="cellIs" dxfId="9708" priority="88" operator="between">
      <formula>80%</formula>
      <formula>99%</formula>
    </cfRule>
    <cfRule type="cellIs" dxfId="9707" priority="89" operator="between">
      <formula>0%</formula>
      <formula>79%</formula>
    </cfRule>
  </conditionalFormatting>
  <conditionalFormatting sqref="BL142:BS142">
    <cfRule type="cellIs" dxfId="9706" priority="67" operator="between">
      <formula>51%</formula>
      <formula>75%</formula>
    </cfRule>
    <cfRule type="cellIs" dxfId="9705" priority="68" operator="greaterThan">
      <formula>1</formula>
    </cfRule>
    <cfRule type="cellIs" dxfId="9704" priority="69" operator="equal">
      <formula>100%</formula>
    </cfRule>
    <cfRule type="cellIs" dxfId="9703" priority="70" operator="between">
      <formula>76%</formula>
      <formula>95%</formula>
    </cfRule>
    <cfRule type="cellIs" dxfId="9702" priority="71" operator="between">
      <formula>0%</formula>
      <formula>50%</formula>
    </cfRule>
  </conditionalFormatting>
  <conditionalFormatting sqref="BL111:BS112">
    <cfRule type="cellIs" dxfId="9701" priority="61" operator="between">
      <formula>51%</formula>
      <formula>75%</formula>
    </cfRule>
    <cfRule type="cellIs" dxfId="9700" priority="62" operator="greaterThan">
      <formula>1</formula>
    </cfRule>
    <cfRule type="cellIs" dxfId="9699" priority="63" operator="equal">
      <formula>100%</formula>
    </cfRule>
    <cfRule type="cellIs" dxfId="9698" priority="64" operator="between">
      <formula>80%</formula>
      <formula>99%</formula>
    </cfRule>
    <cfRule type="cellIs" dxfId="9697" priority="65" operator="between">
      <formula>0%</formula>
      <formula>79%</formula>
    </cfRule>
  </conditionalFormatting>
  <conditionalFormatting sqref="BL149 BN149 BP149 BR149">
    <cfRule type="cellIs" dxfId="9696" priority="55" operator="equal">
      <formula>#REF!</formula>
    </cfRule>
    <cfRule type="cellIs" dxfId="9695" priority="56" operator="greaterThan">
      <formula>1</formula>
    </cfRule>
    <cfRule type="cellIs" dxfId="9694" priority="57" operator="equal">
      <formula>100%</formula>
    </cfRule>
    <cfRule type="cellIs" dxfId="9693" priority="58" operator="between">
      <formula>80%</formula>
      <formula>99%</formula>
    </cfRule>
    <cfRule type="cellIs" dxfId="9692" priority="59" operator="between">
      <formula>0%</formula>
      <formula>79%</formula>
    </cfRule>
  </conditionalFormatting>
  <conditionalFormatting sqref="BL155:BS155">
    <cfRule type="cellIs" dxfId="9691" priority="49" operator="equal">
      <formula>#REF!</formula>
    </cfRule>
    <cfRule type="cellIs" dxfId="9690" priority="50" operator="greaterThan">
      <formula>1</formula>
    </cfRule>
    <cfRule type="cellIs" dxfId="9689" priority="51" operator="equal">
      <formula>100%</formula>
    </cfRule>
    <cfRule type="cellIs" dxfId="9688" priority="52" operator="between">
      <formula>80%</formula>
      <formula>99%</formula>
    </cfRule>
    <cfRule type="cellIs" dxfId="9687" priority="53" operator="between">
      <formula>0%</formula>
      <formula>79%</formula>
    </cfRule>
  </conditionalFormatting>
  <conditionalFormatting sqref="BL68:BS69">
    <cfRule type="cellIs" dxfId="9686" priority="43" operator="equal">
      <formula>#REF!</formula>
    </cfRule>
    <cfRule type="cellIs" dxfId="9685" priority="44" operator="greaterThan">
      <formula>1</formula>
    </cfRule>
    <cfRule type="cellIs" dxfId="9684" priority="45" operator="equal">
      <formula>100%</formula>
    </cfRule>
    <cfRule type="cellIs" dxfId="9683" priority="46" operator="between">
      <formula>80%</formula>
      <formula>99%</formula>
    </cfRule>
    <cfRule type="cellIs" dxfId="9682" priority="47" operator="between">
      <formula>0%</formula>
      <formula>79%</formula>
    </cfRule>
  </conditionalFormatting>
  <conditionalFormatting sqref="BM131">
    <cfRule type="cellIs" dxfId="9681" priority="37" operator="equal">
      <formula>#REF!</formula>
    </cfRule>
    <cfRule type="cellIs" dxfId="9680" priority="38" operator="greaterThan">
      <formula>1</formula>
    </cfRule>
    <cfRule type="cellIs" dxfId="9679" priority="39" operator="equal">
      <formula>100%</formula>
    </cfRule>
    <cfRule type="cellIs" dxfId="9678" priority="40" operator="between">
      <formula>80%</formula>
      <formula>99%</formula>
    </cfRule>
    <cfRule type="cellIs" dxfId="9677" priority="41" operator="between">
      <formula>0%</formula>
      <formula>79%</formula>
    </cfRule>
  </conditionalFormatting>
  <conditionalFormatting sqref="BO131">
    <cfRule type="cellIs" dxfId="9676" priority="31" operator="equal">
      <formula>#REF!</formula>
    </cfRule>
    <cfRule type="cellIs" dxfId="9675" priority="32" operator="greaterThan">
      <formula>1</formula>
    </cfRule>
    <cfRule type="cellIs" dxfId="9674" priority="33" operator="equal">
      <formula>100%</formula>
    </cfRule>
    <cfRule type="cellIs" dxfId="9673" priority="34" operator="between">
      <formula>80%</formula>
      <formula>99%</formula>
    </cfRule>
    <cfRule type="cellIs" dxfId="9672" priority="35" operator="between">
      <formula>0%</formula>
      <formula>79%</formula>
    </cfRule>
  </conditionalFormatting>
  <conditionalFormatting sqref="BQ131">
    <cfRule type="cellIs" dxfId="9671" priority="25" operator="equal">
      <formula>#REF!</formula>
    </cfRule>
    <cfRule type="cellIs" dxfId="9670" priority="26" operator="greaterThan">
      <formula>1</formula>
    </cfRule>
    <cfRule type="cellIs" dxfId="9669" priority="27" operator="equal">
      <formula>100%</formula>
    </cfRule>
    <cfRule type="cellIs" dxfId="9668" priority="28" operator="between">
      <formula>80%</formula>
      <formula>99%</formula>
    </cfRule>
    <cfRule type="cellIs" dxfId="9667" priority="29" operator="between">
      <formula>0%</formula>
      <formula>79%</formula>
    </cfRule>
  </conditionalFormatting>
  <conditionalFormatting sqref="BS131">
    <cfRule type="cellIs" dxfId="9666" priority="19" operator="equal">
      <formula>#REF!</formula>
    </cfRule>
    <cfRule type="cellIs" dxfId="9665" priority="20" operator="greaterThan">
      <formula>1</formula>
    </cfRule>
    <cfRule type="cellIs" dxfId="9664" priority="21" operator="equal">
      <formula>100%</formula>
    </cfRule>
    <cfRule type="cellIs" dxfId="9663" priority="22" operator="between">
      <formula>80%</formula>
      <formula>99%</formula>
    </cfRule>
    <cfRule type="cellIs" dxfId="9662" priority="23" operator="between">
      <formula>0%</formula>
      <formula>79%</formula>
    </cfRule>
  </conditionalFormatting>
  <conditionalFormatting sqref="BL156:BS156">
    <cfRule type="cellIs" dxfId="9661" priority="1" operator="equal">
      <formula>#REF!</formula>
    </cfRule>
    <cfRule type="cellIs" dxfId="9660" priority="2" operator="greaterThan">
      <formula>1</formula>
    </cfRule>
    <cfRule type="cellIs" dxfId="9659" priority="3" operator="equal">
      <formula>100%</formula>
    </cfRule>
    <cfRule type="cellIs" dxfId="9658" priority="4" operator="between">
      <formula>80%</formula>
      <formula>99%</formula>
    </cfRule>
    <cfRule type="cellIs" dxfId="9657" priority="5" operator="between">
      <formula>0%</formula>
      <formula>79%</formula>
    </cfRule>
  </conditionalFormatting>
  <dataValidations count="5">
    <dataValidation type="list" allowBlank="1" showInputMessage="1" showErrorMessage="1" sqref="R118:R121 R101:R104 R12:R44 R140:R143 R89:R92 R95:R98 R8 R114:R116 R46:R47 R52:R63">
      <formula1>$S$3:$S$57</formula1>
    </dataValidation>
    <dataValidation type="list" allowBlank="1" showInputMessage="1" showErrorMessage="1" sqref="R122:R124 R135:R136">
      <formula1>$S$3:$S$70</formula1>
    </dataValidation>
    <dataValidation type="list" allowBlank="1" showInputMessage="1" showErrorMessage="1" sqref="R105 R112 R138:R139 R149:R150 R152:R154">
      <formula1>$S$3:$S$71</formula1>
    </dataValidation>
    <dataValidation type="list" allowBlank="1" showInputMessage="1" showErrorMessage="1" sqref="R117 R70:R75">
      <formula1>$S$3:$S$75</formula1>
    </dataValidation>
    <dataValidation type="list" allowBlank="1" showInputMessage="1" showErrorMessage="1" sqref="R106 R9:R11">
      <formula1>$S$3:$S$77</formula1>
    </dataValidation>
  </dataValidations>
  <printOptions horizontalCentered="1"/>
  <pageMargins left="0.11811023622047245" right="0.11811023622047245" top="0.15748031496062992" bottom="0.15748031496062992" header="0.31496062992125984" footer="0.31496062992125984"/>
  <pageSetup paperSize="41" scale="4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0" operator="containsText" id="{F67FCEFB-1651-46B0-8231-06091BCC6633}">
            <xm:f>NOT(ISERROR(SEARCH(#REF!,BL8)))</xm:f>
            <xm:f>#REF!</xm:f>
            <x14:dxf>
              <font>
                <color theme="4"/>
              </font>
              <fill>
                <patternFill>
                  <bgColor theme="5" tint="0.59996337778862885"/>
                </patternFill>
              </fill>
            </x14:dxf>
          </x14:cfRule>
          <xm:sqref>BL8:BS9 BL113:BS126 BL132:BS132 BL135:BS141 BL10:BL11 BN10:BN11 BP10:BP11 BR10:BR11 BL12:BS67 BL143:BS146 BL148:BS148 BL147 BN147 BP147 BR147 BL133:BL134 BN133:BN134 BP133:BP134 BR133:BR134 BL127:BL131 BN127:BN131 BP127:BP131 BR127:BR131 BL150:BS154 BL70:BS110</xm:sqref>
        </x14:conditionalFormatting>
        <x14:conditionalFormatting xmlns:xm="http://schemas.microsoft.com/office/excel/2006/main">
          <x14:cfRule type="containsText" priority="72" operator="containsText" id="{CD4FB10C-CE87-42B3-9951-DEAE15BA8A60}">
            <xm:f>NOT(ISERROR(SEARCH(#REF!,BL142)))</xm:f>
            <xm:f>#REF!</xm:f>
            <x14:dxf>
              <font>
                <color theme="4"/>
              </font>
              <fill>
                <patternFill>
                  <bgColor theme="5" tint="0.59996337778862885"/>
                </patternFill>
              </fill>
            </x14:dxf>
          </x14:cfRule>
          <xm:sqref>BL142:BS142</xm:sqref>
        </x14:conditionalFormatting>
        <x14:conditionalFormatting xmlns:xm="http://schemas.microsoft.com/office/excel/2006/main">
          <x14:cfRule type="containsText" priority="66" operator="containsText" id="{17ABA43D-1DA4-4C4E-B6C5-08C09C9D5406}">
            <xm:f>NOT(ISERROR(SEARCH(#REF!,BL111)))</xm:f>
            <xm:f>#REF!</xm:f>
            <x14:dxf>
              <font>
                <color theme="4"/>
              </font>
              <fill>
                <patternFill>
                  <bgColor theme="5" tint="0.59996337778862885"/>
                </patternFill>
              </fill>
            </x14:dxf>
          </x14:cfRule>
          <xm:sqref>BL111:BS112</xm:sqref>
        </x14:conditionalFormatting>
        <x14:conditionalFormatting xmlns:xm="http://schemas.microsoft.com/office/excel/2006/main">
          <x14:cfRule type="containsText" priority="60" operator="containsText" id="{C6C5884D-B5C3-41BB-9A23-396050C2EDB7}">
            <xm:f>NOT(ISERROR(SEARCH(#REF!,BL149)))</xm:f>
            <xm:f>#REF!</xm:f>
            <x14:dxf>
              <font>
                <color theme="4"/>
              </font>
              <fill>
                <patternFill>
                  <bgColor theme="5" tint="0.59996337778862885"/>
                </patternFill>
              </fill>
            </x14:dxf>
          </x14:cfRule>
          <xm:sqref>BL149 BN149 BP149 BR149</xm:sqref>
        </x14:conditionalFormatting>
        <x14:conditionalFormatting xmlns:xm="http://schemas.microsoft.com/office/excel/2006/main">
          <x14:cfRule type="containsText" priority="54" operator="containsText" id="{3014E89B-EF36-4487-B5A3-B6D115708EE8}">
            <xm:f>NOT(ISERROR(SEARCH(#REF!,BL155)))</xm:f>
            <xm:f>#REF!</xm:f>
            <x14:dxf>
              <font>
                <color theme="4"/>
              </font>
              <fill>
                <patternFill>
                  <bgColor theme="5" tint="0.59996337778862885"/>
                </patternFill>
              </fill>
            </x14:dxf>
          </x14:cfRule>
          <xm:sqref>BL155:BS155</xm:sqref>
        </x14:conditionalFormatting>
        <x14:conditionalFormatting xmlns:xm="http://schemas.microsoft.com/office/excel/2006/main">
          <x14:cfRule type="containsText" priority="48" operator="containsText" id="{FD5AD8FC-6C72-4C7C-A6D2-DA2F683172C2}">
            <xm:f>NOT(ISERROR(SEARCH(#REF!,BL68)))</xm:f>
            <xm:f>#REF!</xm:f>
            <x14:dxf>
              <font>
                <color theme="4"/>
              </font>
              <fill>
                <patternFill>
                  <bgColor theme="5" tint="0.59996337778862885"/>
                </patternFill>
              </fill>
            </x14:dxf>
          </x14:cfRule>
          <xm:sqref>BL68:BS69</xm:sqref>
        </x14:conditionalFormatting>
        <x14:conditionalFormatting xmlns:xm="http://schemas.microsoft.com/office/excel/2006/main">
          <x14:cfRule type="containsText" priority="42" operator="containsText" id="{5C2DEDBF-12A1-4312-AB07-198194F3DA88}">
            <xm:f>NOT(ISERROR(SEARCH(#REF!,BM131)))</xm:f>
            <xm:f>#REF!</xm:f>
            <x14:dxf>
              <font>
                <color theme="4"/>
              </font>
              <fill>
                <patternFill>
                  <bgColor theme="5" tint="0.59996337778862885"/>
                </patternFill>
              </fill>
            </x14:dxf>
          </x14:cfRule>
          <xm:sqref>BM131</xm:sqref>
        </x14:conditionalFormatting>
        <x14:conditionalFormatting xmlns:xm="http://schemas.microsoft.com/office/excel/2006/main">
          <x14:cfRule type="containsText" priority="36" operator="containsText" id="{C81361F6-FF53-44A0-87E0-59CF66A2101F}">
            <xm:f>NOT(ISERROR(SEARCH(#REF!,BO131)))</xm:f>
            <xm:f>#REF!</xm:f>
            <x14:dxf>
              <font>
                <color theme="4"/>
              </font>
              <fill>
                <patternFill>
                  <bgColor theme="5" tint="0.59996337778862885"/>
                </patternFill>
              </fill>
            </x14:dxf>
          </x14:cfRule>
          <xm:sqref>BO131</xm:sqref>
        </x14:conditionalFormatting>
        <x14:conditionalFormatting xmlns:xm="http://schemas.microsoft.com/office/excel/2006/main">
          <x14:cfRule type="containsText" priority="30" operator="containsText" id="{DF64B949-B601-4CED-B0EC-9C8259CFE251}">
            <xm:f>NOT(ISERROR(SEARCH(#REF!,BQ131)))</xm:f>
            <xm:f>#REF!</xm:f>
            <x14:dxf>
              <font>
                <color theme="4"/>
              </font>
              <fill>
                <patternFill>
                  <bgColor theme="5" tint="0.59996337778862885"/>
                </patternFill>
              </fill>
            </x14:dxf>
          </x14:cfRule>
          <xm:sqref>BQ131</xm:sqref>
        </x14:conditionalFormatting>
        <x14:conditionalFormatting xmlns:xm="http://schemas.microsoft.com/office/excel/2006/main">
          <x14:cfRule type="containsText" priority="24" operator="containsText" id="{89770DD1-615B-4421-8802-2D04C1A04303}">
            <xm:f>NOT(ISERROR(SEARCH(#REF!,BS131)))</xm:f>
            <xm:f>#REF!</xm:f>
            <x14:dxf>
              <font>
                <color theme="4"/>
              </font>
              <fill>
                <patternFill>
                  <bgColor theme="5" tint="0.59996337778862885"/>
                </patternFill>
              </fill>
            </x14:dxf>
          </x14:cfRule>
          <xm:sqref>BS131</xm:sqref>
        </x14:conditionalFormatting>
        <x14:conditionalFormatting xmlns:xm="http://schemas.microsoft.com/office/excel/2006/main">
          <x14:cfRule type="containsText" priority="6" operator="containsText" id="{798D96D4-0D4D-4186-9B1D-46A0D56972FA}">
            <xm:f>NOT(ISERROR(SEARCH(#REF!,BL156)))</xm:f>
            <xm:f>#REF!</xm:f>
            <x14:dxf>
              <font>
                <color theme="4"/>
              </font>
              <fill>
                <patternFill>
                  <bgColor theme="5" tint="0.59996337778862885"/>
                </patternFill>
              </fill>
            </x14:dxf>
          </x14:cfRule>
          <xm:sqref>BL156:BS156</xm:sqref>
        </x14:conditionalFormatting>
      </x14:conditionalFormattings>
    </ext>
    <ext xmlns:x14="http://schemas.microsoft.com/office/spreadsheetml/2009/9/main" uri="{CCE6A557-97BC-4b89-ADB6-D9C93CAAB3DF}">
      <x14:dataValidations xmlns:xm="http://schemas.microsoft.com/office/excel/2006/main" count="28">
        <x14:dataValidation type="list" allowBlank="1" showInputMessage="1" showErrorMessage="1">
          <x14:formula1>
            <xm:f>'TAB. REF. PA'!$D$3:$D$9</xm:f>
          </x14:formula1>
          <xm:sqref>D95:D109 D114:D121 D140:D143 D89:D92 D8:D11</xm:sqref>
        </x14:dataValidation>
        <x14:dataValidation type="list" allowBlank="1" showInputMessage="1" showErrorMessage="1">
          <x14:formula1>
            <xm:f>'D:\Users\ricardo.triana\Documents\ADRES\Plan de Accion\Plan Accion 2018\[Plan Accion ADRES Vigencia 2018 DGRFS 17-01-18.xlsx]TAB. REF. PA'!#REF!</xm:f>
          </x14:formula1>
          <xm:sqref>D12:D44</xm:sqref>
        </x14:dataValidation>
        <x14:dataValidation type="list" allowBlank="1" showInputMessage="1" showErrorMessage="1">
          <x14:formula1>
            <xm:f>'D:\Users\ricardo.triana\Documents\ADRES\Plan de Accion\Plan Accion 2018\[Plan Accion ADRES Vigencia 2018 DLG 17-01-18.xlsx]TAB. REF. PA'!#REF!</xm:f>
          </x14:formula1>
          <xm:sqref>D45:D63 D156</xm:sqref>
        </x14:dataValidation>
        <x14:dataValidation type="list" allowBlank="1" showInputMessage="1" showErrorMessage="1">
          <x14:formula1>
            <xm:f>'C:\Users\Ricardo.triana\AppData\Local\Microsoft\Windows\INetCache\Content.Outlook\NSJG1V0A\[Plan Accion ADRES DOP 24-01-2018.xlsx]TAB. REF. PA'!#REF!</xm:f>
          </x14:formula1>
          <xm:sqref>D70:D75 D64:D68</xm:sqref>
        </x14:dataValidation>
        <x14:dataValidation type="list" allowBlank="1" showInputMessage="1" showErrorMessage="1">
          <x14:formula1>
            <xm:f>'TAB. REF. PA'!$W$3:$W$7</xm:f>
          </x14:formula1>
          <xm:sqref>W80:W121 W78 W139:W145 W70:W75 W8:W9 W12:W67 W125:W135 W150:W156</xm:sqref>
        </x14:dataValidation>
        <x14:dataValidation type="list" allowBlank="1" showInputMessage="1" showErrorMessage="1">
          <x14:formula1>
            <xm:f>'TAB. REF. PA'!$F$3:$F$10</xm:f>
          </x14:formula1>
          <xm:sqref>M95:M109 M111:M112 M114:M121 M140:M145 M89:M92 M8:M9 M12:M67 M70:M75 M155:M156</xm:sqref>
        </x14:dataValidation>
        <x14:dataValidation type="list" allowBlank="1" showInputMessage="1" showErrorMessage="1">
          <x14:formula1>
            <xm:f>'TAB. REF. PA'!$H$3:$H$21</xm:f>
          </x14:formula1>
          <xm:sqref>N95:N109 N111:N112 N114:N121 N140:N145 N89:N92 N8:N9 N12:N67 N70:N75 N155:N156</xm:sqref>
        </x14:dataValidation>
        <x14:dataValidation type="list" allowBlank="1" showInputMessage="1" showErrorMessage="1">
          <x14:formula1>
            <xm:f>'TAB. REF. PA'!$J$3:$J$6</xm:f>
          </x14:formula1>
          <xm:sqref>O95:O109 O111:O112 O114:O121 O140:O145 O89:O92 O8:O9 O12:O67 O70:O75 O155:O156</xm:sqref>
        </x14:dataValidation>
        <x14:dataValidation type="list" allowBlank="1" showInputMessage="1" showErrorMessage="1">
          <x14:formula1>
            <xm:f>'TAB. REF. PA'!$L$3:$L$11</xm:f>
          </x14:formula1>
          <xm:sqref>P95:P109 P111:P112 P114:P121 P140:P145 P89:P92 P8:P9 P12:P67 P70:P75 P155:P156</xm:sqref>
        </x14:dataValidation>
        <x14:dataValidation type="list" allowBlank="1" showInputMessage="1" showErrorMessage="1">
          <x14:formula1>
            <xm:f>'TAB. REF. PA'!$N$3:$N$25</xm:f>
          </x14:formula1>
          <xm:sqref>Q95:Q109 Q111:Q112 Q114:Q121 Q140:Q145 Q89:Q92 Q8:Q9 Q70:Q75 Q155:Q156 Q12:Q67</xm:sqref>
        </x14:dataValidation>
        <x14:dataValidation type="list" allowBlank="1" showInputMessage="1" showErrorMessage="1">
          <x14:formula1>
            <xm:f>'TAB. REF. PA'!$U$3:$U$24</xm:f>
          </x14:formula1>
          <xm:sqref>S95:S104 S109 S106:S107 S114:S121 S140:S143 S89:S92 S8:S67 S70:S75 S156</xm:sqref>
        </x14:dataValidation>
        <x14:dataValidation type="list" allowBlank="1" showInputMessage="1" showErrorMessage="1">
          <x14:formula1>
            <xm:f>'TAB. REF. PA'!$A$3:$A$14</xm:f>
          </x14:formula1>
          <xm:sqref>A95:A109 A114:A121 A140:A143 A89:A92 A8:A67 A70:A75 A156</xm:sqref>
        </x14:dataValidation>
        <x14:dataValidation type="list" allowBlank="1" showInputMessage="1" showErrorMessage="1">
          <x14:formula1>
            <xm:f>'C:\Users\norela.briceno\Documents\Plan de acción\[Plan Accion ADRES Vigencia 2018 Preliminar DTIC ADRES 25-01-18.xlsx]TAB. REF. PA'!#REF!</xm:f>
          </x14:formula1>
          <xm:sqref>D76:D88 M76:S88 W79 W76:W77 A76:A88</xm:sqref>
        </x14:dataValidation>
        <x14:dataValidation type="list" allowBlank="1" showInputMessage="1" showErrorMessage="1">
          <x14:formula1>
            <xm:f>'C:\Users\norela.briceno\Documents\Plan de acción\Plan Accion 2018\[Plan Accion ADRES - DAF Gestión Documental.xlsx]TAB. REF. PA'!#REF!</xm:f>
          </x14:formula1>
          <xm:sqref>M110:S110 M113:S113 A110 A113 A144:A145 D110 D113 D144:D145 D155</xm:sqref>
        </x14:dataValidation>
        <x14:dataValidation type="list" allowBlank="1" showInputMessage="1" showErrorMessage="1">
          <x14:formula1>
            <xm:f>'C:\Users\norela.briceno\Documents\Plan de acción\Plan Accion 2018\[Plan Accion ADRES Vigencia 2018 26-01-18 Atención al Ciudadano.xlsx]TAB. REF. PA'!#REF!</xm:f>
          </x14:formula1>
          <xm:sqref>D111:D112 S112 A111:A112</xm:sqref>
        </x14:dataValidation>
        <x14:dataValidation type="list" allowBlank="1" showInputMessage="1" showErrorMessage="1">
          <x14:formula1>
            <xm:f>'D:\Users\Alicia.benitez\Documents\PLAN DE ACCION\[Atencion al Ciudadano.XLSX]TAB. REF. PA'!#REF!</xm:f>
          </x14:formula1>
          <xm:sqref>S111</xm:sqref>
        </x14:dataValidation>
        <x14:dataValidation type="list" allowBlank="1" showInputMessage="1" showErrorMessage="1">
          <x14:formula1>
            <xm:f>'D:\Users\Alicia.benitez\Documents\PLAN DE ACCION\[Apoyo Logistico.xlsx]TAB. REF. PA'!#REF!</xm:f>
          </x14:formula1>
          <xm:sqref>R144:R145 R155</xm:sqref>
        </x14:dataValidation>
        <x14:dataValidation type="list" allowBlank="1" showInputMessage="1" showErrorMessage="1">
          <x14:formula1>
            <xm:f>'C:\Users\norela.briceno\AppData\Local\Microsoft\Windows\INetCache\Content.Outlook\FBI6K8AZ\[PLAN DE ACCION TALENTO HUMANO OK.xlsx]TAB. REF. PA'!#REF!</xm:f>
          </x14:formula1>
          <xm:sqref>S105 S144:S145 S155</xm:sqref>
        </x14:dataValidation>
        <x14:dataValidation type="list" allowBlank="1" showInputMessage="1" showErrorMessage="1">
          <x14:formula1>
            <xm:f>'C:\Users\norela.briceno\Documents\Plan de acción\[Plan Accion ADRES - DAF y OAJ.xlsx]TAB. REF. PA'!#REF!</xm:f>
          </x14:formula1>
          <xm:sqref>R107 D93:D94 S122:S139 W136:W138 M93:S94 A93:A94 W122:W124 M139:Q139 A122:A139 D122:D139 M122:Q137 R125:R130 R132:R134</xm:sqref>
        </x14:dataValidation>
        <x14:dataValidation type="list" allowBlank="1" showInputMessage="1" showErrorMessage="1">
          <x14:formula1>
            <xm:f>'C:\Users\norela.briceno\AppData\Local\Microsoft\Windows\INetCache\Content.Outlook\FBI6K8AZ\[Plan Accion ADRES Vigencia 2018 ADRES 26-01-18 JCB.xlsx]TAB. REF. PA'!#REF!</xm:f>
          </x14:formula1>
          <xm:sqref>R108:S108 R109</xm:sqref>
        </x14:dataValidation>
        <x14:dataValidation type="list" allowBlank="1" showInputMessage="1" showErrorMessage="1">
          <x14:formula1>
            <xm:f>'D:\Users\magdiela.delacarrera\Documents\PLAN DE ACCIÓN GRUPO COBRO COACTIVO\[Copia de Plan Accion ADRES Vigencia 2018 Cobro Coactivo 15-01-18 remitido x Ricardo.xlsx]TAB. REF. PA'!#REF!</xm:f>
          </x14:formula1>
          <xm:sqref>R137:R139 D139 A139 S138:S139 M139:Q139 M146:R146 W146 W148 M148:R148 D146:D154 A146:A154 S146:S154 M150:Q154</xm:sqref>
        </x14:dataValidation>
        <x14:dataValidation type="list" allowBlank="1" showInputMessage="1" showErrorMessage="1">
          <x14:formula1>
            <xm:f>'TAB. REF. PA'!$S$40</xm:f>
          </x14:formula1>
          <xm:sqref>R111</xm:sqref>
        </x14:dataValidation>
        <x14:dataValidation type="list" allowBlank="1" showInputMessage="1" showErrorMessage="1">
          <x14:formula1>
            <xm:f>'TAB. REF. PA'!$S$6:$S$18</xm:f>
          </x14:formula1>
          <xm:sqref>R48:R51</xm:sqref>
        </x14:dataValidation>
        <x14:dataValidation type="list" allowBlank="1" showInputMessage="1" showErrorMessage="1">
          <x14:formula1>
            <xm:f>'C:\Users\norela.briceno\AppData\Local\Microsoft\Windows\INetCache\Content.Outlook\FBI6K8AZ\[Copia de Plan Accion ADRES Vigencia 2018 con Cuadro de Mando.xlsx]TAB. REF. PA'!#REF!</xm:f>
          </x14:formula1>
          <xm:sqref>A68 W68 M68:S68</xm:sqref>
        </x14:dataValidation>
        <x14:dataValidation type="list" allowBlank="1" showInputMessage="1" showErrorMessage="1">
          <x14:formula1>
            <xm:f>'TAB. REF. PA'!$S$3:$S$80</xm:f>
          </x14:formula1>
          <xm:sqref>R99:R100 R151 R131</xm:sqref>
        </x14:dataValidation>
        <x14:dataValidation type="list" allowBlank="1" showInputMessage="1" showErrorMessage="1">
          <x14:formula1>
            <xm:f>'TAB. REF. PA'!$S$3:$S$78</xm:f>
          </x14:formula1>
          <xm:sqref>R64:R67</xm:sqref>
        </x14:dataValidation>
        <x14:dataValidation type="list" allowBlank="1" showInputMessage="1" showErrorMessage="1">
          <x14:formula1>
            <xm:f>'TAB. REF. PA'!$S$3:$S$77</xm:f>
          </x14:formula1>
          <xm:sqref>R45</xm:sqref>
        </x14:dataValidation>
        <x14:dataValidation type="list" allowBlank="1" showInputMessage="1" showErrorMessage="1">
          <x14:formula1>
            <xm:f>'TAB. REF. PA'!$S$3:$S$76</xm:f>
          </x14:formula1>
          <xm:sqref>R147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election activeCell="F13" sqref="F13"/>
    </sheetView>
  </sheetViews>
  <sheetFormatPr baseColWidth="10" defaultRowHeight="15" x14ac:dyDescent="0.25"/>
  <sheetData>
    <row r="1" spans="1:12" ht="15.75" thickBot="1" x14ac:dyDescent="0.3">
      <c r="A1" s="161"/>
      <c r="B1" s="161"/>
      <c r="C1" s="161"/>
      <c r="D1" s="161"/>
      <c r="E1" s="161"/>
      <c r="F1" s="161"/>
      <c r="G1" s="161"/>
      <c r="H1" s="161"/>
      <c r="I1" s="161"/>
    </row>
    <row r="2" spans="1:12" x14ac:dyDescent="0.25">
      <c r="A2" s="732"/>
      <c r="B2" s="733"/>
      <c r="C2" s="738" t="s">
        <v>966</v>
      </c>
      <c r="D2" s="739"/>
      <c r="E2" s="740" t="s">
        <v>967</v>
      </c>
      <c r="F2" s="741"/>
      <c r="G2" s="741"/>
      <c r="H2" s="742"/>
      <c r="I2" s="743"/>
      <c r="J2" s="744"/>
      <c r="K2" s="744"/>
      <c r="L2" s="745"/>
    </row>
    <row r="3" spans="1:12" x14ac:dyDescent="0.25">
      <c r="A3" s="734"/>
      <c r="B3" s="735"/>
      <c r="C3" s="752" t="s">
        <v>968</v>
      </c>
      <c r="D3" s="753"/>
      <c r="E3" s="754" t="s">
        <v>800</v>
      </c>
      <c r="F3" s="755"/>
      <c r="G3" s="755"/>
      <c r="H3" s="756"/>
      <c r="I3" s="746"/>
      <c r="J3" s="747"/>
      <c r="K3" s="747"/>
      <c r="L3" s="748"/>
    </row>
    <row r="4" spans="1:12" ht="15.75" thickBot="1" x14ac:dyDescent="0.3">
      <c r="A4" s="736"/>
      <c r="B4" s="737"/>
      <c r="C4" s="757" t="s">
        <v>857</v>
      </c>
      <c r="D4" s="758"/>
      <c r="E4" s="759" t="s">
        <v>972</v>
      </c>
      <c r="F4" s="760"/>
      <c r="G4" s="474" t="s">
        <v>971</v>
      </c>
      <c r="H4" s="475">
        <v>1</v>
      </c>
      <c r="I4" s="749"/>
      <c r="J4" s="750"/>
      <c r="K4" s="750"/>
      <c r="L4" s="751"/>
    </row>
    <row r="8" spans="1:12" x14ac:dyDescent="0.25">
      <c r="C8" s="171" t="s">
        <v>872</v>
      </c>
      <c r="I8" s="172" t="s">
        <v>875</v>
      </c>
    </row>
    <row r="9" spans="1:12" x14ac:dyDescent="0.25">
      <c r="C9" s="165"/>
    </row>
    <row r="10" spans="1:12" x14ac:dyDescent="0.25">
      <c r="C10" s="165"/>
    </row>
    <row r="11" spans="1:12" x14ac:dyDescent="0.25">
      <c r="C11" s="165"/>
    </row>
    <row r="12" spans="1:12" x14ac:dyDescent="0.25">
      <c r="C12" s="165"/>
    </row>
    <row r="13" spans="1:12" x14ac:dyDescent="0.25">
      <c r="C13" s="171" t="s">
        <v>873</v>
      </c>
    </row>
    <row r="14" spans="1:12" x14ac:dyDescent="0.25">
      <c r="C14" s="165"/>
    </row>
    <row r="15" spans="1:12" x14ac:dyDescent="0.25">
      <c r="C15" s="165"/>
    </row>
    <row r="16" spans="1:12" x14ac:dyDescent="0.25">
      <c r="C16" s="165"/>
    </row>
    <row r="17" spans="3:3" x14ac:dyDescent="0.25">
      <c r="C17" s="165"/>
    </row>
    <row r="18" spans="3:3" x14ac:dyDescent="0.25">
      <c r="C18" s="165"/>
    </row>
    <row r="19" spans="3:3" x14ac:dyDescent="0.25">
      <c r="C19" s="171" t="s">
        <v>874</v>
      </c>
    </row>
  </sheetData>
  <mergeCells count="8">
    <mergeCell ref="A2:B4"/>
    <mergeCell ref="C2:D2"/>
    <mergeCell ref="E2:H2"/>
    <mergeCell ref="I2:L4"/>
    <mergeCell ref="C3:D3"/>
    <mergeCell ref="E3:H3"/>
    <mergeCell ref="C4:D4"/>
    <mergeCell ref="E4:F4"/>
  </mergeCells>
  <hyperlinks>
    <hyperlink ref="C8" location="'Cumplimiento perspectivas conso'!A1" display="SEGUIMIENTO AL CUMPLIMIENTO POR PERSPECTIVA DEL CMI"/>
    <hyperlink ref="C13" location="'Cumplimiento de objetivos'!A1" display="SEGUIMIENTO AL CUMPLIMIENTO POR OBJETIVOS/LINEAMIENTOS ESTRATÉGICOS"/>
    <hyperlink ref="C19" location="'Cumplimiento Dependencias'!A1" display="SEGUIMIENTO AL CUMPLIMIENTO POR DEPENDENCIAS"/>
    <hyperlink ref="I8" location="'Cuadro Mando Integral Detallado'!A1" display="Detalle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A248"/>
  <sheetViews>
    <sheetView showGridLines="0" zoomScale="55" zoomScaleNormal="55" workbookViewId="0">
      <selection activeCell="H15" sqref="H15"/>
    </sheetView>
  </sheetViews>
  <sheetFormatPr baseColWidth="10" defaultColWidth="11" defaultRowHeight="14.25" x14ac:dyDescent="0.2"/>
  <cols>
    <col min="1" max="1" width="1.5703125" style="300" customWidth="1"/>
    <col min="2" max="2" width="22.28515625" style="300" customWidth="1"/>
    <col min="3" max="3" width="42.5703125" style="300" customWidth="1"/>
    <col min="4" max="4" width="38.7109375" style="300" customWidth="1"/>
    <col min="5" max="5" width="32.140625" style="300" customWidth="1"/>
    <col min="6" max="6" width="33.85546875" style="300" customWidth="1"/>
    <col min="7" max="7" width="5.7109375" style="301" customWidth="1"/>
    <col min="8" max="8" width="13.7109375" style="301" customWidth="1"/>
    <col min="9" max="10" width="15.7109375" style="300" customWidth="1"/>
    <col min="11" max="11" width="2.5703125" style="302" customWidth="1"/>
    <col min="12" max="12" width="12.42578125" style="300" customWidth="1"/>
    <col min="13" max="14" width="15.85546875" style="300" customWidth="1"/>
    <col min="15" max="15" width="2.5703125" style="302" customWidth="1"/>
    <col min="16" max="16" width="15.85546875" style="300" customWidth="1"/>
    <col min="17" max="18" width="15.5703125" style="300" customWidth="1"/>
    <col min="19" max="19" width="2.5703125" style="302" customWidth="1"/>
    <col min="20" max="20" width="12.5703125" style="300" customWidth="1"/>
    <col min="21" max="21" width="16.28515625" style="300" customWidth="1"/>
    <col min="22" max="22" width="18.140625" style="300" customWidth="1"/>
    <col min="23" max="23" width="12" style="300" hidden="1" customWidth="1"/>
    <col min="24" max="24" width="5.7109375" style="300" customWidth="1"/>
    <col min="25" max="26" width="0" style="300" hidden="1" customWidth="1"/>
    <col min="27" max="27" width="2.7109375" style="300" hidden="1" customWidth="1"/>
    <col min="28" max="29" width="0" style="300" hidden="1" customWidth="1"/>
    <col min="30" max="30" width="2.7109375" style="300" hidden="1" customWidth="1"/>
    <col min="31" max="32" width="0" style="300" hidden="1" customWidth="1"/>
    <col min="33" max="33" width="2.7109375" style="300" hidden="1" customWidth="1"/>
    <col min="34" max="35" width="0" style="300" hidden="1" customWidth="1"/>
    <col min="36" max="36" width="2.7109375" style="300" hidden="1" customWidth="1"/>
    <col min="37" max="37" width="0" style="300" hidden="1" customWidth="1"/>
    <col min="38" max="38" width="5.7109375" style="300" hidden="1" customWidth="1"/>
    <col min="39" max="40" width="0" style="300" hidden="1" customWidth="1"/>
    <col min="41" max="41" width="2.7109375" style="300" hidden="1" customWidth="1"/>
    <col min="42" max="43" width="0" style="300" hidden="1" customWidth="1"/>
    <col min="44" max="44" width="2.7109375" style="300" hidden="1" customWidth="1"/>
    <col min="45" max="46" width="0" style="300" hidden="1" customWidth="1"/>
    <col min="47" max="47" width="2.7109375" style="300" hidden="1" customWidth="1"/>
    <col min="48" max="49" width="0" style="300" hidden="1" customWidth="1"/>
    <col min="50" max="50" width="2.7109375" style="300" hidden="1" customWidth="1"/>
    <col min="51" max="51" width="0" style="300" hidden="1" customWidth="1"/>
    <col min="52" max="52" width="5.7109375" style="300" hidden="1" customWidth="1"/>
    <col min="53" max="54" width="0" style="300" hidden="1" customWidth="1"/>
    <col min="55" max="55" width="2.7109375" style="300" hidden="1" customWidth="1"/>
    <col min="56" max="57" width="0" style="300" hidden="1" customWidth="1"/>
    <col min="58" max="58" width="2.7109375" style="300" hidden="1" customWidth="1"/>
    <col min="59" max="60" width="0" style="300" hidden="1" customWidth="1"/>
    <col min="61" max="61" width="2.7109375" style="300" hidden="1" customWidth="1"/>
    <col min="62" max="63" width="0" style="300" hidden="1" customWidth="1"/>
    <col min="64" max="64" width="2.7109375" style="300" hidden="1" customWidth="1"/>
    <col min="65" max="65" width="0" style="300" hidden="1" customWidth="1"/>
    <col min="66" max="66" width="5.7109375" style="300" hidden="1" customWidth="1"/>
    <col min="67" max="68" width="0" style="300" hidden="1" customWidth="1"/>
    <col min="69" max="69" width="2.7109375" style="300" hidden="1" customWidth="1"/>
    <col min="70" max="71" width="0" style="300" hidden="1" customWidth="1"/>
    <col min="72" max="72" width="2.7109375" style="300" hidden="1" customWidth="1"/>
    <col min="73" max="74" width="0" style="300" hidden="1" customWidth="1"/>
    <col min="75" max="75" width="2.7109375" style="300" hidden="1" customWidth="1"/>
    <col min="76" max="77" width="0" style="300" hidden="1" customWidth="1"/>
    <col min="78" max="78" width="2.7109375" style="300" hidden="1" customWidth="1"/>
    <col min="79" max="79" width="0" style="300" hidden="1" customWidth="1"/>
    <col min="80" max="255" width="11" style="300"/>
    <col min="256" max="256" width="1.5703125" style="300" customWidth="1"/>
    <col min="257" max="257" width="8.5703125" style="300" customWidth="1"/>
    <col min="258" max="258" width="28.7109375" style="300" customWidth="1"/>
    <col min="259" max="259" width="26.5703125" style="300" customWidth="1"/>
    <col min="260" max="260" width="7.7109375" style="300" customWidth="1"/>
    <col min="261" max="261" width="19.42578125" style="300" customWidth="1"/>
    <col min="262" max="262" width="44.28515625" style="300" customWidth="1"/>
    <col min="263" max="263" width="17" style="300" customWidth="1"/>
    <col min="264" max="264" width="15.5703125" style="300" customWidth="1"/>
    <col min="265" max="265" width="14.140625" style="300" customWidth="1"/>
    <col min="266" max="266" width="1.7109375" style="300" customWidth="1"/>
    <col min="267" max="267" width="13.7109375" style="300" customWidth="1"/>
    <col min="268" max="268" width="13.85546875" style="300" bestFit="1" customWidth="1"/>
    <col min="269" max="269" width="2.5703125" style="300" customWidth="1"/>
    <col min="270" max="270" width="12.42578125" style="300" customWidth="1"/>
    <col min="271" max="271" width="13.5703125" style="300" customWidth="1"/>
    <col min="272" max="272" width="2.5703125" style="300" customWidth="1"/>
    <col min="273" max="273" width="12.42578125" style="300" customWidth="1"/>
    <col min="274" max="274" width="13.5703125" style="300" customWidth="1"/>
    <col min="275" max="275" width="2.5703125" style="300" customWidth="1"/>
    <col min="276" max="276" width="11.5703125" style="300" customWidth="1"/>
    <col min="277" max="277" width="13" style="300" customWidth="1"/>
    <col min="278" max="278" width="1.42578125" style="300" customWidth="1"/>
    <col min="279" max="279" width="10.5703125" style="300" customWidth="1"/>
    <col min="280" max="511" width="11" style="300"/>
    <col min="512" max="512" width="1.5703125" style="300" customWidth="1"/>
    <col min="513" max="513" width="8.5703125" style="300" customWidth="1"/>
    <col min="514" max="514" width="28.7109375" style="300" customWidth="1"/>
    <col min="515" max="515" width="26.5703125" style="300" customWidth="1"/>
    <col min="516" max="516" width="7.7109375" style="300" customWidth="1"/>
    <col min="517" max="517" width="19.42578125" style="300" customWidth="1"/>
    <col min="518" max="518" width="44.28515625" style="300" customWidth="1"/>
    <col min="519" max="519" width="17" style="300" customWidth="1"/>
    <col min="520" max="520" width="15.5703125" style="300" customWidth="1"/>
    <col min="521" max="521" width="14.140625" style="300" customWidth="1"/>
    <col min="522" max="522" width="1.7109375" style="300" customWidth="1"/>
    <col min="523" max="523" width="13.7109375" style="300" customWidth="1"/>
    <col min="524" max="524" width="13.85546875" style="300" bestFit="1" customWidth="1"/>
    <col min="525" max="525" width="2.5703125" style="300" customWidth="1"/>
    <col min="526" max="526" width="12.42578125" style="300" customWidth="1"/>
    <col min="527" max="527" width="13.5703125" style="300" customWidth="1"/>
    <col min="528" max="528" width="2.5703125" style="300" customWidth="1"/>
    <col min="529" max="529" width="12.42578125" style="300" customWidth="1"/>
    <col min="530" max="530" width="13.5703125" style="300" customWidth="1"/>
    <col min="531" max="531" width="2.5703125" style="300" customWidth="1"/>
    <col min="532" max="532" width="11.5703125" style="300" customWidth="1"/>
    <col min="533" max="533" width="13" style="300" customWidth="1"/>
    <col min="534" max="534" width="1.42578125" style="300" customWidth="1"/>
    <col min="535" max="535" width="10.5703125" style="300" customWidth="1"/>
    <col min="536" max="767" width="11" style="300"/>
    <col min="768" max="768" width="1.5703125" style="300" customWidth="1"/>
    <col min="769" max="769" width="8.5703125" style="300" customWidth="1"/>
    <col min="770" max="770" width="28.7109375" style="300" customWidth="1"/>
    <col min="771" max="771" width="26.5703125" style="300" customWidth="1"/>
    <col min="772" max="772" width="7.7109375" style="300" customWidth="1"/>
    <col min="773" max="773" width="19.42578125" style="300" customWidth="1"/>
    <col min="774" max="774" width="44.28515625" style="300" customWidth="1"/>
    <col min="775" max="775" width="17" style="300" customWidth="1"/>
    <col min="776" max="776" width="15.5703125" style="300" customWidth="1"/>
    <col min="777" max="777" width="14.140625" style="300" customWidth="1"/>
    <col min="778" max="778" width="1.7109375" style="300" customWidth="1"/>
    <col min="779" max="779" width="13.7109375" style="300" customWidth="1"/>
    <col min="780" max="780" width="13.85546875" style="300" bestFit="1" customWidth="1"/>
    <col min="781" max="781" width="2.5703125" style="300" customWidth="1"/>
    <col min="782" max="782" width="12.42578125" style="300" customWidth="1"/>
    <col min="783" max="783" width="13.5703125" style="300" customWidth="1"/>
    <col min="784" max="784" width="2.5703125" style="300" customWidth="1"/>
    <col min="785" max="785" width="12.42578125" style="300" customWidth="1"/>
    <col min="786" max="786" width="13.5703125" style="300" customWidth="1"/>
    <col min="787" max="787" width="2.5703125" style="300" customWidth="1"/>
    <col min="788" max="788" width="11.5703125" style="300" customWidth="1"/>
    <col min="789" max="789" width="13" style="300" customWidth="1"/>
    <col min="790" max="790" width="1.42578125" style="300" customWidth="1"/>
    <col min="791" max="791" width="10.5703125" style="300" customWidth="1"/>
    <col min="792" max="1023" width="11" style="300"/>
    <col min="1024" max="1024" width="1.5703125" style="300" customWidth="1"/>
    <col min="1025" max="1025" width="8.5703125" style="300" customWidth="1"/>
    <col min="1026" max="1026" width="28.7109375" style="300" customWidth="1"/>
    <col min="1027" max="1027" width="26.5703125" style="300" customWidth="1"/>
    <col min="1028" max="1028" width="7.7109375" style="300" customWidth="1"/>
    <col min="1029" max="1029" width="19.42578125" style="300" customWidth="1"/>
    <col min="1030" max="1030" width="44.28515625" style="300" customWidth="1"/>
    <col min="1031" max="1031" width="17" style="300" customWidth="1"/>
    <col min="1032" max="1032" width="15.5703125" style="300" customWidth="1"/>
    <col min="1033" max="1033" width="14.140625" style="300" customWidth="1"/>
    <col min="1034" max="1034" width="1.7109375" style="300" customWidth="1"/>
    <col min="1035" max="1035" width="13.7109375" style="300" customWidth="1"/>
    <col min="1036" max="1036" width="13.85546875" style="300" bestFit="1" customWidth="1"/>
    <col min="1037" max="1037" width="2.5703125" style="300" customWidth="1"/>
    <col min="1038" max="1038" width="12.42578125" style="300" customWidth="1"/>
    <col min="1039" max="1039" width="13.5703125" style="300" customWidth="1"/>
    <col min="1040" max="1040" width="2.5703125" style="300" customWidth="1"/>
    <col min="1041" max="1041" width="12.42578125" style="300" customWidth="1"/>
    <col min="1042" max="1042" width="13.5703125" style="300" customWidth="1"/>
    <col min="1043" max="1043" width="2.5703125" style="300" customWidth="1"/>
    <col min="1044" max="1044" width="11.5703125" style="300" customWidth="1"/>
    <col min="1045" max="1045" width="13" style="300" customWidth="1"/>
    <col min="1046" max="1046" width="1.42578125" style="300" customWidth="1"/>
    <col min="1047" max="1047" width="10.5703125" style="300" customWidth="1"/>
    <col min="1048" max="1279" width="11" style="300"/>
    <col min="1280" max="1280" width="1.5703125" style="300" customWidth="1"/>
    <col min="1281" max="1281" width="8.5703125" style="300" customWidth="1"/>
    <col min="1282" max="1282" width="28.7109375" style="300" customWidth="1"/>
    <col min="1283" max="1283" width="26.5703125" style="300" customWidth="1"/>
    <col min="1284" max="1284" width="7.7109375" style="300" customWidth="1"/>
    <col min="1285" max="1285" width="19.42578125" style="300" customWidth="1"/>
    <col min="1286" max="1286" width="44.28515625" style="300" customWidth="1"/>
    <col min="1287" max="1287" width="17" style="300" customWidth="1"/>
    <col min="1288" max="1288" width="15.5703125" style="300" customWidth="1"/>
    <col min="1289" max="1289" width="14.140625" style="300" customWidth="1"/>
    <col min="1290" max="1290" width="1.7109375" style="300" customWidth="1"/>
    <col min="1291" max="1291" width="13.7109375" style="300" customWidth="1"/>
    <col min="1292" max="1292" width="13.85546875" style="300" bestFit="1" customWidth="1"/>
    <col min="1293" max="1293" width="2.5703125" style="300" customWidth="1"/>
    <col min="1294" max="1294" width="12.42578125" style="300" customWidth="1"/>
    <col min="1295" max="1295" width="13.5703125" style="300" customWidth="1"/>
    <col min="1296" max="1296" width="2.5703125" style="300" customWidth="1"/>
    <col min="1297" max="1297" width="12.42578125" style="300" customWidth="1"/>
    <col min="1298" max="1298" width="13.5703125" style="300" customWidth="1"/>
    <col min="1299" max="1299" width="2.5703125" style="300" customWidth="1"/>
    <col min="1300" max="1300" width="11.5703125" style="300" customWidth="1"/>
    <col min="1301" max="1301" width="13" style="300" customWidth="1"/>
    <col min="1302" max="1302" width="1.42578125" style="300" customWidth="1"/>
    <col min="1303" max="1303" width="10.5703125" style="300" customWidth="1"/>
    <col min="1304" max="1535" width="11" style="300"/>
    <col min="1536" max="1536" width="1.5703125" style="300" customWidth="1"/>
    <col min="1537" max="1537" width="8.5703125" style="300" customWidth="1"/>
    <col min="1538" max="1538" width="28.7109375" style="300" customWidth="1"/>
    <col min="1539" max="1539" width="26.5703125" style="300" customWidth="1"/>
    <col min="1540" max="1540" width="7.7109375" style="300" customWidth="1"/>
    <col min="1541" max="1541" width="19.42578125" style="300" customWidth="1"/>
    <col min="1542" max="1542" width="44.28515625" style="300" customWidth="1"/>
    <col min="1543" max="1543" width="17" style="300" customWidth="1"/>
    <col min="1544" max="1544" width="15.5703125" style="300" customWidth="1"/>
    <col min="1545" max="1545" width="14.140625" style="300" customWidth="1"/>
    <col min="1546" max="1546" width="1.7109375" style="300" customWidth="1"/>
    <col min="1547" max="1547" width="13.7109375" style="300" customWidth="1"/>
    <col min="1548" max="1548" width="13.85546875" style="300" bestFit="1" customWidth="1"/>
    <col min="1549" max="1549" width="2.5703125" style="300" customWidth="1"/>
    <col min="1550" max="1550" width="12.42578125" style="300" customWidth="1"/>
    <col min="1551" max="1551" width="13.5703125" style="300" customWidth="1"/>
    <col min="1552" max="1552" width="2.5703125" style="300" customWidth="1"/>
    <col min="1553" max="1553" width="12.42578125" style="300" customWidth="1"/>
    <col min="1554" max="1554" width="13.5703125" style="300" customWidth="1"/>
    <col min="1555" max="1555" width="2.5703125" style="300" customWidth="1"/>
    <col min="1556" max="1556" width="11.5703125" style="300" customWidth="1"/>
    <col min="1557" max="1557" width="13" style="300" customWidth="1"/>
    <col min="1558" max="1558" width="1.42578125" style="300" customWidth="1"/>
    <col min="1559" max="1559" width="10.5703125" style="300" customWidth="1"/>
    <col min="1560" max="1791" width="11" style="300"/>
    <col min="1792" max="1792" width="1.5703125" style="300" customWidth="1"/>
    <col min="1793" max="1793" width="8.5703125" style="300" customWidth="1"/>
    <col min="1794" max="1794" width="28.7109375" style="300" customWidth="1"/>
    <col min="1795" max="1795" width="26.5703125" style="300" customWidth="1"/>
    <col min="1796" max="1796" width="7.7109375" style="300" customWidth="1"/>
    <col min="1797" max="1797" width="19.42578125" style="300" customWidth="1"/>
    <col min="1798" max="1798" width="44.28515625" style="300" customWidth="1"/>
    <col min="1799" max="1799" width="17" style="300" customWidth="1"/>
    <col min="1800" max="1800" width="15.5703125" style="300" customWidth="1"/>
    <col min="1801" max="1801" width="14.140625" style="300" customWidth="1"/>
    <col min="1802" max="1802" width="1.7109375" style="300" customWidth="1"/>
    <col min="1803" max="1803" width="13.7109375" style="300" customWidth="1"/>
    <col min="1804" max="1804" width="13.85546875" style="300" bestFit="1" customWidth="1"/>
    <col min="1805" max="1805" width="2.5703125" style="300" customWidth="1"/>
    <col min="1806" max="1806" width="12.42578125" style="300" customWidth="1"/>
    <col min="1807" max="1807" width="13.5703125" style="300" customWidth="1"/>
    <col min="1808" max="1808" width="2.5703125" style="300" customWidth="1"/>
    <col min="1809" max="1809" width="12.42578125" style="300" customWidth="1"/>
    <col min="1810" max="1810" width="13.5703125" style="300" customWidth="1"/>
    <col min="1811" max="1811" width="2.5703125" style="300" customWidth="1"/>
    <col min="1812" max="1812" width="11.5703125" style="300" customWidth="1"/>
    <col min="1813" max="1813" width="13" style="300" customWidth="1"/>
    <col min="1814" max="1814" width="1.42578125" style="300" customWidth="1"/>
    <col min="1815" max="1815" width="10.5703125" style="300" customWidth="1"/>
    <col min="1816" max="2047" width="11" style="300"/>
    <col min="2048" max="2048" width="1.5703125" style="300" customWidth="1"/>
    <col min="2049" max="2049" width="8.5703125" style="300" customWidth="1"/>
    <col min="2050" max="2050" width="28.7109375" style="300" customWidth="1"/>
    <col min="2051" max="2051" width="26.5703125" style="300" customWidth="1"/>
    <col min="2052" max="2052" width="7.7109375" style="300" customWidth="1"/>
    <col min="2053" max="2053" width="19.42578125" style="300" customWidth="1"/>
    <col min="2054" max="2054" width="44.28515625" style="300" customWidth="1"/>
    <col min="2055" max="2055" width="17" style="300" customWidth="1"/>
    <col min="2056" max="2056" width="15.5703125" style="300" customWidth="1"/>
    <col min="2057" max="2057" width="14.140625" style="300" customWidth="1"/>
    <col min="2058" max="2058" width="1.7109375" style="300" customWidth="1"/>
    <col min="2059" max="2059" width="13.7109375" style="300" customWidth="1"/>
    <col min="2060" max="2060" width="13.85546875" style="300" bestFit="1" customWidth="1"/>
    <col min="2061" max="2061" width="2.5703125" style="300" customWidth="1"/>
    <col min="2062" max="2062" width="12.42578125" style="300" customWidth="1"/>
    <col min="2063" max="2063" width="13.5703125" style="300" customWidth="1"/>
    <col min="2064" max="2064" width="2.5703125" style="300" customWidth="1"/>
    <col min="2065" max="2065" width="12.42578125" style="300" customWidth="1"/>
    <col min="2066" max="2066" width="13.5703125" style="300" customWidth="1"/>
    <col min="2067" max="2067" width="2.5703125" style="300" customWidth="1"/>
    <col min="2068" max="2068" width="11.5703125" style="300" customWidth="1"/>
    <col min="2069" max="2069" width="13" style="300" customWidth="1"/>
    <col min="2070" max="2070" width="1.42578125" style="300" customWidth="1"/>
    <col min="2071" max="2071" width="10.5703125" style="300" customWidth="1"/>
    <col min="2072" max="2303" width="11" style="300"/>
    <col min="2304" max="2304" width="1.5703125" style="300" customWidth="1"/>
    <col min="2305" max="2305" width="8.5703125" style="300" customWidth="1"/>
    <col min="2306" max="2306" width="28.7109375" style="300" customWidth="1"/>
    <col min="2307" max="2307" width="26.5703125" style="300" customWidth="1"/>
    <col min="2308" max="2308" width="7.7109375" style="300" customWidth="1"/>
    <col min="2309" max="2309" width="19.42578125" style="300" customWidth="1"/>
    <col min="2310" max="2310" width="44.28515625" style="300" customWidth="1"/>
    <col min="2311" max="2311" width="17" style="300" customWidth="1"/>
    <col min="2312" max="2312" width="15.5703125" style="300" customWidth="1"/>
    <col min="2313" max="2313" width="14.140625" style="300" customWidth="1"/>
    <col min="2314" max="2314" width="1.7109375" style="300" customWidth="1"/>
    <col min="2315" max="2315" width="13.7109375" style="300" customWidth="1"/>
    <col min="2316" max="2316" width="13.85546875" style="300" bestFit="1" customWidth="1"/>
    <col min="2317" max="2317" width="2.5703125" style="300" customWidth="1"/>
    <col min="2318" max="2318" width="12.42578125" style="300" customWidth="1"/>
    <col min="2319" max="2319" width="13.5703125" style="300" customWidth="1"/>
    <col min="2320" max="2320" width="2.5703125" style="300" customWidth="1"/>
    <col min="2321" max="2321" width="12.42578125" style="300" customWidth="1"/>
    <col min="2322" max="2322" width="13.5703125" style="300" customWidth="1"/>
    <col min="2323" max="2323" width="2.5703125" style="300" customWidth="1"/>
    <col min="2324" max="2324" width="11.5703125" style="300" customWidth="1"/>
    <col min="2325" max="2325" width="13" style="300" customWidth="1"/>
    <col min="2326" max="2326" width="1.42578125" style="300" customWidth="1"/>
    <col min="2327" max="2327" width="10.5703125" style="300" customWidth="1"/>
    <col min="2328" max="2559" width="11" style="300"/>
    <col min="2560" max="2560" width="1.5703125" style="300" customWidth="1"/>
    <col min="2561" max="2561" width="8.5703125" style="300" customWidth="1"/>
    <col min="2562" max="2562" width="28.7109375" style="300" customWidth="1"/>
    <col min="2563" max="2563" width="26.5703125" style="300" customWidth="1"/>
    <col min="2564" max="2564" width="7.7109375" style="300" customWidth="1"/>
    <col min="2565" max="2565" width="19.42578125" style="300" customWidth="1"/>
    <col min="2566" max="2566" width="44.28515625" style="300" customWidth="1"/>
    <col min="2567" max="2567" width="17" style="300" customWidth="1"/>
    <col min="2568" max="2568" width="15.5703125" style="300" customWidth="1"/>
    <col min="2569" max="2569" width="14.140625" style="300" customWidth="1"/>
    <col min="2570" max="2570" width="1.7109375" style="300" customWidth="1"/>
    <col min="2571" max="2571" width="13.7109375" style="300" customWidth="1"/>
    <col min="2572" max="2572" width="13.85546875" style="300" bestFit="1" customWidth="1"/>
    <col min="2573" max="2573" width="2.5703125" style="300" customWidth="1"/>
    <col min="2574" max="2574" width="12.42578125" style="300" customWidth="1"/>
    <col min="2575" max="2575" width="13.5703125" style="300" customWidth="1"/>
    <col min="2576" max="2576" width="2.5703125" style="300" customWidth="1"/>
    <col min="2577" max="2577" width="12.42578125" style="300" customWidth="1"/>
    <col min="2578" max="2578" width="13.5703125" style="300" customWidth="1"/>
    <col min="2579" max="2579" width="2.5703125" style="300" customWidth="1"/>
    <col min="2580" max="2580" width="11.5703125" style="300" customWidth="1"/>
    <col min="2581" max="2581" width="13" style="300" customWidth="1"/>
    <col min="2582" max="2582" width="1.42578125" style="300" customWidth="1"/>
    <col min="2583" max="2583" width="10.5703125" style="300" customWidth="1"/>
    <col min="2584" max="2815" width="11" style="300"/>
    <col min="2816" max="2816" width="1.5703125" style="300" customWidth="1"/>
    <col min="2817" max="2817" width="8.5703125" style="300" customWidth="1"/>
    <col min="2818" max="2818" width="28.7109375" style="300" customWidth="1"/>
    <col min="2819" max="2819" width="26.5703125" style="300" customWidth="1"/>
    <col min="2820" max="2820" width="7.7109375" style="300" customWidth="1"/>
    <col min="2821" max="2821" width="19.42578125" style="300" customWidth="1"/>
    <col min="2822" max="2822" width="44.28515625" style="300" customWidth="1"/>
    <col min="2823" max="2823" width="17" style="300" customWidth="1"/>
    <col min="2824" max="2824" width="15.5703125" style="300" customWidth="1"/>
    <col min="2825" max="2825" width="14.140625" style="300" customWidth="1"/>
    <col min="2826" max="2826" width="1.7109375" style="300" customWidth="1"/>
    <col min="2827" max="2827" width="13.7109375" style="300" customWidth="1"/>
    <col min="2828" max="2828" width="13.85546875" style="300" bestFit="1" customWidth="1"/>
    <col min="2829" max="2829" width="2.5703125" style="300" customWidth="1"/>
    <col min="2830" max="2830" width="12.42578125" style="300" customWidth="1"/>
    <col min="2831" max="2831" width="13.5703125" style="300" customWidth="1"/>
    <col min="2832" max="2832" width="2.5703125" style="300" customWidth="1"/>
    <col min="2833" max="2833" width="12.42578125" style="300" customWidth="1"/>
    <col min="2834" max="2834" width="13.5703125" style="300" customWidth="1"/>
    <col min="2835" max="2835" width="2.5703125" style="300" customWidth="1"/>
    <col min="2836" max="2836" width="11.5703125" style="300" customWidth="1"/>
    <col min="2837" max="2837" width="13" style="300" customWidth="1"/>
    <col min="2838" max="2838" width="1.42578125" style="300" customWidth="1"/>
    <col min="2839" max="2839" width="10.5703125" style="300" customWidth="1"/>
    <col min="2840" max="3071" width="11" style="300"/>
    <col min="3072" max="3072" width="1.5703125" style="300" customWidth="1"/>
    <col min="3073" max="3073" width="8.5703125" style="300" customWidth="1"/>
    <col min="3074" max="3074" width="28.7109375" style="300" customWidth="1"/>
    <col min="3075" max="3075" width="26.5703125" style="300" customWidth="1"/>
    <col min="3076" max="3076" width="7.7109375" style="300" customWidth="1"/>
    <col min="3077" max="3077" width="19.42578125" style="300" customWidth="1"/>
    <col min="3078" max="3078" width="44.28515625" style="300" customWidth="1"/>
    <col min="3079" max="3079" width="17" style="300" customWidth="1"/>
    <col min="3080" max="3080" width="15.5703125" style="300" customWidth="1"/>
    <col min="3081" max="3081" width="14.140625" style="300" customWidth="1"/>
    <col min="3082" max="3082" width="1.7109375" style="300" customWidth="1"/>
    <col min="3083" max="3083" width="13.7109375" style="300" customWidth="1"/>
    <col min="3084" max="3084" width="13.85546875" style="300" bestFit="1" customWidth="1"/>
    <col min="3085" max="3085" width="2.5703125" style="300" customWidth="1"/>
    <col min="3086" max="3086" width="12.42578125" style="300" customWidth="1"/>
    <col min="3087" max="3087" width="13.5703125" style="300" customWidth="1"/>
    <col min="3088" max="3088" width="2.5703125" style="300" customWidth="1"/>
    <col min="3089" max="3089" width="12.42578125" style="300" customWidth="1"/>
    <col min="3090" max="3090" width="13.5703125" style="300" customWidth="1"/>
    <col min="3091" max="3091" width="2.5703125" style="300" customWidth="1"/>
    <col min="3092" max="3092" width="11.5703125" style="300" customWidth="1"/>
    <col min="3093" max="3093" width="13" style="300" customWidth="1"/>
    <col min="3094" max="3094" width="1.42578125" style="300" customWidth="1"/>
    <col min="3095" max="3095" width="10.5703125" style="300" customWidth="1"/>
    <col min="3096" max="3327" width="11" style="300"/>
    <col min="3328" max="3328" width="1.5703125" style="300" customWidth="1"/>
    <col min="3329" max="3329" width="8.5703125" style="300" customWidth="1"/>
    <col min="3330" max="3330" width="28.7109375" style="300" customWidth="1"/>
    <col min="3331" max="3331" width="26.5703125" style="300" customWidth="1"/>
    <col min="3332" max="3332" width="7.7109375" style="300" customWidth="1"/>
    <col min="3333" max="3333" width="19.42578125" style="300" customWidth="1"/>
    <col min="3334" max="3334" width="44.28515625" style="300" customWidth="1"/>
    <col min="3335" max="3335" width="17" style="300" customWidth="1"/>
    <col min="3336" max="3336" width="15.5703125" style="300" customWidth="1"/>
    <col min="3337" max="3337" width="14.140625" style="300" customWidth="1"/>
    <col min="3338" max="3338" width="1.7109375" style="300" customWidth="1"/>
    <col min="3339" max="3339" width="13.7109375" style="300" customWidth="1"/>
    <col min="3340" max="3340" width="13.85546875" style="300" bestFit="1" customWidth="1"/>
    <col min="3341" max="3341" width="2.5703125" style="300" customWidth="1"/>
    <col min="3342" max="3342" width="12.42578125" style="300" customWidth="1"/>
    <col min="3343" max="3343" width="13.5703125" style="300" customWidth="1"/>
    <col min="3344" max="3344" width="2.5703125" style="300" customWidth="1"/>
    <col min="3345" max="3345" width="12.42578125" style="300" customWidth="1"/>
    <col min="3346" max="3346" width="13.5703125" style="300" customWidth="1"/>
    <col min="3347" max="3347" width="2.5703125" style="300" customWidth="1"/>
    <col min="3348" max="3348" width="11.5703125" style="300" customWidth="1"/>
    <col min="3349" max="3349" width="13" style="300" customWidth="1"/>
    <col min="3350" max="3350" width="1.42578125" style="300" customWidth="1"/>
    <col min="3351" max="3351" width="10.5703125" style="300" customWidth="1"/>
    <col min="3352" max="3583" width="11" style="300"/>
    <col min="3584" max="3584" width="1.5703125" style="300" customWidth="1"/>
    <col min="3585" max="3585" width="8.5703125" style="300" customWidth="1"/>
    <col min="3586" max="3586" width="28.7109375" style="300" customWidth="1"/>
    <col min="3587" max="3587" width="26.5703125" style="300" customWidth="1"/>
    <col min="3588" max="3588" width="7.7109375" style="300" customWidth="1"/>
    <col min="3589" max="3589" width="19.42578125" style="300" customWidth="1"/>
    <col min="3590" max="3590" width="44.28515625" style="300" customWidth="1"/>
    <col min="3591" max="3591" width="17" style="300" customWidth="1"/>
    <col min="3592" max="3592" width="15.5703125" style="300" customWidth="1"/>
    <col min="3593" max="3593" width="14.140625" style="300" customWidth="1"/>
    <col min="3594" max="3594" width="1.7109375" style="300" customWidth="1"/>
    <col min="3595" max="3595" width="13.7109375" style="300" customWidth="1"/>
    <col min="3596" max="3596" width="13.85546875" style="300" bestFit="1" customWidth="1"/>
    <col min="3597" max="3597" width="2.5703125" style="300" customWidth="1"/>
    <col min="3598" max="3598" width="12.42578125" style="300" customWidth="1"/>
    <col min="3599" max="3599" width="13.5703125" style="300" customWidth="1"/>
    <col min="3600" max="3600" width="2.5703125" style="300" customWidth="1"/>
    <col min="3601" max="3601" width="12.42578125" style="300" customWidth="1"/>
    <col min="3602" max="3602" width="13.5703125" style="300" customWidth="1"/>
    <col min="3603" max="3603" width="2.5703125" style="300" customWidth="1"/>
    <col min="3604" max="3604" width="11.5703125" style="300" customWidth="1"/>
    <col min="3605" max="3605" width="13" style="300" customWidth="1"/>
    <col min="3606" max="3606" width="1.42578125" style="300" customWidth="1"/>
    <col min="3607" max="3607" width="10.5703125" style="300" customWidth="1"/>
    <col min="3608" max="3839" width="11" style="300"/>
    <col min="3840" max="3840" width="1.5703125" style="300" customWidth="1"/>
    <col min="3841" max="3841" width="8.5703125" style="300" customWidth="1"/>
    <col min="3842" max="3842" width="28.7109375" style="300" customWidth="1"/>
    <col min="3843" max="3843" width="26.5703125" style="300" customWidth="1"/>
    <col min="3844" max="3844" width="7.7109375" style="300" customWidth="1"/>
    <col min="3845" max="3845" width="19.42578125" style="300" customWidth="1"/>
    <col min="3846" max="3846" width="44.28515625" style="300" customWidth="1"/>
    <col min="3847" max="3847" width="17" style="300" customWidth="1"/>
    <col min="3848" max="3848" width="15.5703125" style="300" customWidth="1"/>
    <col min="3849" max="3849" width="14.140625" style="300" customWidth="1"/>
    <col min="3850" max="3850" width="1.7109375" style="300" customWidth="1"/>
    <col min="3851" max="3851" width="13.7109375" style="300" customWidth="1"/>
    <col min="3852" max="3852" width="13.85546875" style="300" bestFit="1" customWidth="1"/>
    <col min="3853" max="3853" width="2.5703125" style="300" customWidth="1"/>
    <col min="3854" max="3854" width="12.42578125" style="300" customWidth="1"/>
    <col min="3855" max="3855" width="13.5703125" style="300" customWidth="1"/>
    <col min="3856" max="3856" width="2.5703125" style="300" customWidth="1"/>
    <col min="3857" max="3857" width="12.42578125" style="300" customWidth="1"/>
    <col min="3858" max="3858" width="13.5703125" style="300" customWidth="1"/>
    <col min="3859" max="3859" width="2.5703125" style="300" customWidth="1"/>
    <col min="3860" max="3860" width="11.5703125" style="300" customWidth="1"/>
    <col min="3861" max="3861" width="13" style="300" customWidth="1"/>
    <col min="3862" max="3862" width="1.42578125" style="300" customWidth="1"/>
    <col min="3863" max="3863" width="10.5703125" style="300" customWidth="1"/>
    <col min="3864" max="4095" width="11" style="300"/>
    <col min="4096" max="4096" width="1.5703125" style="300" customWidth="1"/>
    <col min="4097" max="4097" width="8.5703125" style="300" customWidth="1"/>
    <col min="4098" max="4098" width="28.7109375" style="300" customWidth="1"/>
    <col min="4099" max="4099" width="26.5703125" style="300" customWidth="1"/>
    <col min="4100" max="4100" width="7.7109375" style="300" customWidth="1"/>
    <col min="4101" max="4101" width="19.42578125" style="300" customWidth="1"/>
    <col min="4102" max="4102" width="44.28515625" style="300" customWidth="1"/>
    <col min="4103" max="4103" width="17" style="300" customWidth="1"/>
    <col min="4104" max="4104" width="15.5703125" style="300" customWidth="1"/>
    <col min="4105" max="4105" width="14.140625" style="300" customWidth="1"/>
    <col min="4106" max="4106" width="1.7109375" style="300" customWidth="1"/>
    <col min="4107" max="4107" width="13.7109375" style="300" customWidth="1"/>
    <col min="4108" max="4108" width="13.85546875" style="300" bestFit="1" customWidth="1"/>
    <col min="4109" max="4109" width="2.5703125" style="300" customWidth="1"/>
    <col min="4110" max="4110" width="12.42578125" style="300" customWidth="1"/>
    <col min="4111" max="4111" width="13.5703125" style="300" customWidth="1"/>
    <col min="4112" max="4112" width="2.5703125" style="300" customWidth="1"/>
    <col min="4113" max="4113" width="12.42578125" style="300" customWidth="1"/>
    <col min="4114" max="4114" width="13.5703125" style="300" customWidth="1"/>
    <col min="4115" max="4115" width="2.5703125" style="300" customWidth="1"/>
    <col min="4116" max="4116" width="11.5703125" style="300" customWidth="1"/>
    <col min="4117" max="4117" width="13" style="300" customWidth="1"/>
    <col min="4118" max="4118" width="1.42578125" style="300" customWidth="1"/>
    <col min="4119" max="4119" width="10.5703125" style="300" customWidth="1"/>
    <col min="4120" max="4351" width="11" style="300"/>
    <col min="4352" max="4352" width="1.5703125" style="300" customWidth="1"/>
    <col min="4353" max="4353" width="8.5703125" style="300" customWidth="1"/>
    <col min="4354" max="4354" width="28.7109375" style="300" customWidth="1"/>
    <col min="4355" max="4355" width="26.5703125" style="300" customWidth="1"/>
    <col min="4356" max="4356" width="7.7109375" style="300" customWidth="1"/>
    <col min="4357" max="4357" width="19.42578125" style="300" customWidth="1"/>
    <col min="4358" max="4358" width="44.28515625" style="300" customWidth="1"/>
    <col min="4359" max="4359" width="17" style="300" customWidth="1"/>
    <col min="4360" max="4360" width="15.5703125" style="300" customWidth="1"/>
    <col min="4361" max="4361" width="14.140625" style="300" customWidth="1"/>
    <col min="4362" max="4362" width="1.7109375" style="300" customWidth="1"/>
    <col min="4363" max="4363" width="13.7109375" style="300" customWidth="1"/>
    <col min="4364" max="4364" width="13.85546875" style="300" bestFit="1" customWidth="1"/>
    <col min="4365" max="4365" width="2.5703125" style="300" customWidth="1"/>
    <col min="4366" max="4366" width="12.42578125" style="300" customWidth="1"/>
    <col min="4367" max="4367" width="13.5703125" style="300" customWidth="1"/>
    <col min="4368" max="4368" width="2.5703125" style="300" customWidth="1"/>
    <col min="4369" max="4369" width="12.42578125" style="300" customWidth="1"/>
    <col min="4370" max="4370" width="13.5703125" style="300" customWidth="1"/>
    <col min="4371" max="4371" width="2.5703125" style="300" customWidth="1"/>
    <col min="4372" max="4372" width="11.5703125" style="300" customWidth="1"/>
    <col min="4373" max="4373" width="13" style="300" customWidth="1"/>
    <col min="4374" max="4374" width="1.42578125" style="300" customWidth="1"/>
    <col min="4375" max="4375" width="10.5703125" style="300" customWidth="1"/>
    <col min="4376" max="4607" width="11" style="300"/>
    <col min="4608" max="4608" width="1.5703125" style="300" customWidth="1"/>
    <col min="4609" max="4609" width="8.5703125" style="300" customWidth="1"/>
    <col min="4610" max="4610" width="28.7109375" style="300" customWidth="1"/>
    <col min="4611" max="4611" width="26.5703125" style="300" customWidth="1"/>
    <col min="4612" max="4612" width="7.7109375" style="300" customWidth="1"/>
    <col min="4613" max="4613" width="19.42578125" style="300" customWidth="1"/>
    <col min="4614" max="4614" width="44.28515625" style="300" customWidth="1"/>
    <col min="4615" max="4615" width="17" style="300" customWidth="1"/>
    <col min="4616" max="4616" width="15.5703125" style="300" customWidth="1"/>
    <col min="4617" max="4617" width="14.140625" style="300" customWidth="1"/>
    <col min="4618" max="4618" width="1.7109375" style="300" customWidth="1"/>
    <col min="4619" max="4619" width="13.7109375" style="300" customWidth="1"/>
    <col min="4620" max="4620" width="13.85546875" style="300" bestFit="1" customWidth="1"/>
    <col min="4621" max="4621" width="2.5703125" style="300" customWidth="1"/>
    <col min="4622" max="4622" width="12.42578125" style="300" customWidth="1"/>
    <col min="4623" max="4623" width="13.5703125" style="300" customWidth="1"/>
    <col min="4624" max="4624" width="2.5703125" style="300" customWidth="1"/>
    <col min="4625" max="4625" width="12.42578125" style="300" customWidth="1"/>
    <col min="4626" max="4626" width="13.5703125" style="300" customWidth="1"/>
    <col min="4627" max="4627" width="2.5703125" style="300" customWidth="1"/>
    <col min="4628" max="4628" width="11.5703125" style="300" customWidth="1"/>
    <col min="4629" max="4629" width="13" style="300" customWidth="1"/>
    <col min="4630" max="4630" width="1.42578125" style="300" customWidth="1"/>
    <col min="4631" max="4631" width="10.5703125" style="300" customWidth="1"/>
    <col min="4632" max="4863" width="11" style="300"/>
    <col min="4864" max="4864" width="1.5703125" style="300" customWidth="1"/>
    <col min="4865" max="4865" width="8.5703125" style="300" customWidth="1"/>
    <col min="4866" max="4866" width="28.7109375" style="300" customWidth="1"/>
    <col min="4867" max="4867" width="26.5703125" style="300" customWidth="1"/>
    <col min="4868" max="4868" width="7.7109375" style="300" customWidth="1"/>
    <col min="4869" max="4869" width="19.42578125" style="300" customWidth="1"/>
    <col min="4870" max="4870" width="44.28515625" style="300" customWidth="1"/>
    <col min="4871" max="4871" width="17" style="300" customWidth="1"/>
    <col min="4872" max="4872" width="15.5703125" style="300" customWidth="1"/>
    <col min="4873" max="4873" width="14.140625" style="300" customWidth="1"/>
    <col min="4874" max="4874" width="1.7109375" style="300" customWidth="1"/>
    <col min="4875" max="4875" width="13.7109375" style="300" customWidth="1"/>
    <col min="4876" max="4876" width="13.85546875" style="300" bestFit="1" customWidth="1"/>
    <col min="4877" max="4877" width="2.5703125" style="300" customWidth="1"/>
    <col min="4878" max="4878" width="12.42578125" style="300" customWidth="1"/>
    <col min="4879" max="4879" width="13.5703125" style="300" customWidth="1"/>
    <col min="4880" max="4880" width="2.5703125" style="300" customWidth="1"/>
    <col min="4881" max="4881" width="12.42578125" style="300" customWidth="1"/>
    <col min="4882" max="4882" width="13.5703125" style="300" customWidth="1"/>
    <col min="4883" max="4883" width="2.5703125" style="300" customWidth="1"/>
    <col min="4884" max="4884" width="11.5703125" style="300" customWidth="1"/>
    <col min="4885" max="4885" width="13" style="300" customWidth="1"/>
    <col min="4886" max="4886" width="1.42578125" style="300" customWidth="1"/>
    <col min="4887" max="4887" width="10.5703125" style="300" customWidth="1"/>
    <col min="4888" max="5119" width="11" style="300"/>
    <col min="5120" max="5120" width="1.5703125" style="300" customWidth="1"/>
    <col min="5121" max="5121" width="8.5703125" style="300" customWidth="1"/>
    <col min="5122" max="5122" width="28.7109375" style="300" customWidth="1"/>
    <col min="5123" max="5123" width="26.5703125" style="300" customWidth="1"/>
    <col min="5124" max="5124" width="7.7109375" style="300" customWidth="1"/>
    <col min="5125" max="5125" width="19.42578125" style="300" customWidth="1"/>
    <col min="5126" max="5126" width="44.28515625" style="300" customWidth="1"/>
    <col min="5127" max="5127" width="17" style="300" customWidth="1"/>
    <col min="5128" max="5128" width="15.5703125" style="300" customWidth="1"/>
    <col min="5129" max="5129" width="14.140625" style="300" customWidth="1"/>
    <col min="5130" max="5130" width="1.7109375" style="300" customWidth="1"/>
    <col min="5131" max="5131" width="13.7109375" style="300" customWidth="1"/>
    <col min="5132" max="5132" width="13.85546875" style="300" bestFit="1" customWidth="1"/>
    <col min="5133" max="5133" width="2.5703125" style="300" customWidth="1"/>
    <col min="5134" max="5134" width="12.42578125" style="300" customWidth="1"/>
    <col min="5135" max="5135" width="13.5703125" style="300" customWidth="1"/>
    <col min="5136" max="5136" width="2.5703125" style="300" customWidth="1"/>
    <col min="5137" max="5137" width="12.42578125" style="300" customWidth="1"/>
    <col min="5138" max="5138" width="13.5703125" style="300" customWidth="1"/>
    <col min="5139" max="5139" width="2.5703125" style="300" customWidth="1"/>
    <col min="5140" max="5140" width="11.5703125" style="300" customWidth="1"/>
    <col min="5141" max="5141" width="13" style="300" customWidth="1"/>
    <col min="5142" max="5142" width="1.42578125" style="300" customWidth="1"/>
    <col min="5143" max="5143" width="10.5703125" style="300" customWidth="1"/>
    <col min="5144" max="5375" width="11" style="300"/>
    <col min="5376" max="5376" width="1.5703125" style="300" customWidth="1"/>
    <col min="5377" max="5377" width="8.5703125" style="300" customWidth="1"/>
    <col min="5378" max="5378" width="28.7109375" style="300" customWidth="1"/>
    <col min="5379" max="5379" width="26.5703125" style="300" customWidth="1"/>
    <col min="5380" max="5380" width="7.7109375" style="300" customWidth="1"/>
    <col min="5381" max="5381" width="19.42578125" style="300" customWidth="1"/>
    <col min="5382" max="5382" width="44.28515625" style="300" customWidth="1"/>
    <col min="5383" max="5383" width="17" style="300" customWidth="1"/>
    <col min="5384" max="5384" width="15.5703125" style="300" customWidth="1"/>
    <col min="5385" max="5385" width="14.140625" style="300" customWidth="1"/>
    <col min="5386" max="5386" width="1.7109375" style="300" customWidth="1"/>
    <col min="5387" max="5387" width="13.7109375" style="300" customWidth="1"/>
    <col min="5388" max="5388" width="13.85546875" style="300" bestFit="1" customWidth="1"/>
    <col min="5389" max="5389" width="2.5703125" style="300" customWidth="1"/>
    <col min="5390" max="5390" width="12.42578125" style="300" customWidth="1"/>
    <col min="5391" max="5391" width="13.5703125" style="300" customWidth="1"/>
    <col min="5392" max="5392" width="2.5703125" style="300" customWidth="1"/>
    <col min="5393" max="5393" width="12.42578125" style="300" customWidth="1"/>
    <col min="5394" max="5394" width="13.5703125" style="300" customWidth="1"/>
    <col min="5395" max="5395" width="2.5703125" style="300" customWidth="1"/>
    <col min="5396" max="5396" width="11.5703125" style="300" customWidth="1"/>
    <col min="5397" max="5397" width="13" style="300" customWidth="1"/>
    <col min="5398" max="5398" width="1.42578125" style="300" customWidth="1"/>
    <col min="5399" max="5399" width="10.5703125" style="300" customWidth="1"/>
    <col min="5400" max="5631" width="11" style="300"/>
    <col min="5632" max="5632" width="1.5703125" style="300" customWidth="1"/>
    <col min="5633" max="5633" width="8.5703125" style="300" customWidth="1"/>
    <col min="5634" max="5634" width="28.7109375" style="300" customWidth="1"/>
    <col min="5635" max="5635" width="26.5703125" style="300" customWidth="1"/>
    <col min="5636" max="5636" width="7.7109375" style="300" customWidth="1"/>
    <col min="5637" max="5637" width="19.42578125" style="300" customWidth="1"/>
    <col min="5638" max="5638" width="44.28515625" style="300" customWidth="1"/>
    <col min="5639" max="5639" width="17" style="300" customWidth="1"/>
    <col min="5640" max="5640" width="15.5703125" style="300" customWidth="1"/>
    <col min="5641" max="5641" width="14.140625" style="300" customWidth="1"/>
    <col min="5642" max="5642" width="1.7109375" style="300" customWidth="1"/>
    <col min="5643" max="5643" width="13.7109375" style="300" customWidth="1"/>
    <col min="5644" max="5644" width="13.85546875" style="300" bestFit="1" customWidth="1"/>
    <col min="5645" max="5645" width="2.5703125" style="300" customWidth="1"/>
    <col min="5646" max="5646" width="12.42578125" style="300" customWidth="1"/>
    <col min="5647" max="5647" width="13.5703125" style="300" customWidth="1"/>
    <col min="5648" max="5648" width="2.5703125" style="300" customWidth="1"/>
    <col min="5649" max="5649" width="12.42578125" style="300" customWidth="1"/>
    <col min="5650" max="5650" width="13.5703125" style="300" customWidth="1"/>
    <col min="5651" max="5651" width="2.5703125" style="300" customWidth="1"/>
    <col min="5652" max="5652" width="11.5703125" style="300" customWidth="1"/>
    <col min="5653" max="5653" width="13" style="300" customWidth="1"/>
    <col min="5654" max="5654" width="1.42578125" style="300" customWidth="1"/>
    <col min="5655" max="5655" width="10.5703125" style="300" customWidth="1"/>
    <col min="5656" max="5887" width="11" style="300"/>
    <col min="5888" max="5888" width="1.5703125" style="300" customWidth="1"/>
    <col min="5889" max="5889" width="8.5703125" style="300" customWidth="1"/>
    <col min="5890" max="5890" width="28.7109375" style="300" customWidth="1"/>
    <col min="5891" max="5891" width="26.5703125" style="300" customWidth="1"/>
    <col min="5892" max="5892" width="7.7109375" style="300" customWidth="1"/>
    <col min="5893" max="5893" width="19.42578125" style="300" customWidth="1"/>
    <col min="5894" max="5894" width="44.28515625" style="300" customWidth="1"/>
    <col min="5895" max="5895" width="17" style="300" customWidth="1"/>
    <col min="5896" max="5896" width="15.5703125" style="300" customWidth="1"/>
    <col min="5897" max="5897" width="14.140625" style="300" customWidth="1"/>
    <col min="5898" max="5898" width="1.7109375" style="300" customWidth="1"/>
    <col min="5899" max="5899" width="13.7109375" style="300" customWidth="1"/>
    <col min="5900" max="5900" width="13.85546875" style="300" bestFit="1" customWidth="1"/>
    <col min="5901" max="5901" width="2.5703125" style="300" customWidth="1"/>
    <col min="5902" max="5902" width="12.42578125" style="300" customWidth="1"/>
    <col min="5903" max="5903" width="13.5703125" style="300" customWidth="1"/>
    <col min="5904" max="5904" width="2.5703125" style="300" customWidth="1"/>
    <col min="5905" max="5905" width="12.42578125" style="300" customWidth="1"/>
    <col min="5906" max="5906" width="13.5703125" style="300" customWidth="1"/>
    <col min="5907" max="5907" width="2.5703125" style="300" customWidth="1"/>
    <col min="5908" max="5908" width="11.5703125" style="300" customWidth="1"/>
    <col min="5909" max="5909" width="13" style="300" customWidth="1"/>
    <col min="5910" max="5910" width="1.42578125" style="300" customWidth="1"/>
    <col min="5911" max="5911" width="10.5703125" style="300" customWidth="1"/>
    <col min="5912" max="6143" width="11" style="300"/>
    <col min="6144" max="6144" width="1.5703125" style="300" customWidth="1"/>
    <col min="6145" max="6145" width="8.5703125" style="300" customWidth="1"/>
    <col min="6146" max="6146" width="28.7109375" style="300" customWidth="1"/>
    <col min="6147" max="6147" width="26.5703125" style="300" customWidth="1"/>
    <col min="6148" max="6148" width="7.7109375" style="300" customWidth="1"/>
    <col min="6149" max="6149" width="19.42578125" style="300" customWidth="1"/>
    <col min="6150" max="6150" width="44.28515625" style="300" customWidth="1"/>
    <col min="6151" max="6151" width="17" style="300" customWidth="1"/>
    <col min="6152" max="6152" width="15.5703125" style="300" customWidth="1"/>
    <col min="6153" max="6153" width="14.140625" style="300" customWidth="1"/>
    <col min="6154" max="6154" width="1.7109375" style="300" customWidth="1"/>
    <col min="6155" max="6155" width="13.7109375" style="300" customWidth="1"/>
    <col min="6156" max="6156" width="13.85546875" style="300" bestFit="1" customWidth="1"/>
    <col min="6157" max="6157" width="2.5703125" style="300" customWidth="1"/>
    <col min="6158" max="6158" width="12.42578125" style="300" customWidth="1"/>
    <col min="6159" max="6159" width="13.5703125" style="300" customWidth="1"/>
    <col min="6160" max="6160" width="2.5703125" style="300" customWidth="1"/>
    <col min="6161" max="6161" width="12.42578125" style="300" customWidth="1"/>
    <col min="6162" max="6162" width="13.5703125" style="300" customWidth="1"/>
    <col min="6163" max="6163" width="2.5703125" style="300" customWidth="1"/>
    <col min="6164" max="6164" width="11.5703125" style="300" customWidth="1"/>
    <col min="6165" max="6165" width="13" style="300" customWidth="1"/>
    <col min="6166" max="6166" width="1.42578125" style="300" customWidth="1"/>
    <col min="6167" max="6167" width="10.5703125" style="300" customWidth="1"/>
    <col min="6168" max="6399" width="11" style="300"/>
    <col min="6400" max="6400" width="1.5703125" style="300" customWidth="1"/>
    <col min="6401" max="6401" width="8.5703125" style="300" customWidth="1"/>
    <col min="6402" max="6402" width="28.7109375" style="300" customWidth="1"/>
    <col min="6403" max="6403" width="26.5703125" style="300" customWidth="1"/>
    <col min="6404" max="6404" width="7.7109375" style="300" customWidth="1"/>
    <col min="6405" max="6405" width="19.42578125" style="300" customWidth="1"/>
    <col min="6406" max="6406" width="44.28515625" style="300" customWidth="1"/>
    <col min="6407" max="6407" width="17" style="300" customWidth="1"/>
    <col min="6408" max="6408" width="15.5703125" style="300" customWidth="1"/>
    <col min="6409" max="6409" width="14.140625" style="300" customWidth="1"/>
    <col min="6410" max="6410" width="1.7109375" style="300" customWidth="1"/>
    <col min="6411" max="6411" width="13.7109375" style="300" customWidth="1"/>
    <col min="6412" max="6412" width="13.85546875" style="300" bestFit="1" customWidth="1"/>
    <col min="6413" max="6413" width="2.5703125" style="300" customWidth="1"/>
    <col min="6414" max="6414" width="12.42578125" style="300" customWidth="1"/>
    <col min="6415" max="6415" width="13.5703125" style="300" customWidth="1"/>
    <col min="6416" max="6416" width="2.5703125" style="300" customWidth="1"/>
    <col min="6417" max="6417" width="12.42578125" style="300" customWidth="1"/>
    <col min="6418" max="6418" width="13.5703125" style="300" customWidth="1"/>
    <col min="6419" max="6419" width="2.5703125" style="300" customWidth="1"/>
    <col min="6420" max="6420" width="11.5703125" style="300" customWidth="1"/>
    <col min="6421" max="6421" width="13" style="300" customWidth="1"/>
    <col min="6422" max="6422" width="1.42578125" style="300" customWidth="1"/>
    <col min="6423" max="6423" width="10.5703125" style="300" customWidth="1"/>
    <col min="6424" max="6655" width="11" style="300"/>
    <col min="6656" max="6656" width="1.5703125" style="300" customWidth="1"/>
    <col min="6657" max="6657" width="8.5703125" style="300" customWidth="1"/>
    <col min="6658" max="6658" width="28.7109375" style="300" customWidth="1"/>
    <col min="6659" max="6659" width="26.5703125" style="300" customWidth="1"/>
    <col min="6660" max="6660" width="7.7109375" style="300" customWidth="1"/>
    <col min="6661" max="6661" width="19.42578125" style="300" customWidth="1"/>
    <col min="6662" max="6662" width="44.28515625" style="300" customWidth="1"/>
    <col min="6663" max="6663" width="17" style="300" customWidth="1"/>
    <col min="6664" max="6664" width="15.5703125" style="300" customWidth="1"/>
    <col min="6665" max="6665" width="14.140625" style="300" customWidth="1"/>
    <col min="6666" max="6666" width="1.7109375" style="300" customWidth="1"/>
    <col min="6667" max="6667" width="13.7109375" style="300" customWidth="1"/>
    <col min="6668" max="6668" width="13.85546875" style="300" bestFit="1" customWidth="1"/>
    <col min="6669" max="6669" width="2.5703125" style="300" customWidth="1"/>
    <col min="6670" max="6670" width="12.42578125" style="300" customWidth="1"/>
    <col min="6671" max="6671" width="13.5703125" style="300" customWidth="1"/>
    <col min="6672" max="6672" width="2.5703125" style="300" customWidth="1"/>
    <col min="6673" max="6673" width="12.42578125" style="300" customWidth="1"/>
    <col min="6674" max="6674" width="13.5703125" style="300" customWidth="1"/>
    <col min="6675" max="6675" width="2.5703125" style="300" customWidth="1"/>
    <col min="6676" max="6676" width="11.5703125" style="300" customWidth="1"/>
    <col min="6677" max="6677" width="13" style="300" customWidth="1"/>
    <col min="6678" max="6678" width="1.42578125" style="300" customWidth="1"/>
    <col min="6679" max="6679" width="10.5703125" style="300" customWidth="1"/>
    <col min="6680" max="6911" width="11" style="300"/>
    <col min="6912" max="6912" width="1.5703125" style="300" customWidth="1"/>
    <col min="6913" max="6913" width="8.5703125" style="300" customWidth="1"/>
    <col min="6914" max="6914" width="28.7109375" style="300" customWidth="1"/>
    <col min="6915" max="6915" width="26.5703125" style="300" customWidth="1"/>
    <col min="6916" max="6916" width="7.7109375" style="300" customWidth="1"/>
    <col min="6917" max="6917" width="19.42578125" style="300" customWidth="1"/>
    <col min="6918" max="6918" width="44.28515625" style="300" customWidth="1"/>
    <col min="6919" max="6919" width="17" style="300" customWidth="1"/>
    <col min="6920" max="6920" width="15.5703125" style="300" customWidth="1"/>
    <col min="6921" max="6921" width="14.140625" style="300" customWidth="1"/>
    <col min="6922" max="6922" width="1.7109375" style="300" customWidth="1"/>
    <col min="6923" max="6923" width="13.7109375" style="300" customWidth="1"/>
    <col min="6924" max="6924" width="13.85546875" style="300" bestFit="1" customWidth="1"/>
    <col min="6925" max="6925" width="2.5703125" style="300" customWidth="1"/>
    <col min="6926" max="6926" width="12.42578125" style="300" customWidth="1"/>
    <col min="6927" max="6927" width="13.5703125" style="300" customWidth="1"/>
    <col min="6928" max="6928" width="2.5703125" style="300" customWidth="1"/>
    <col min="6929" max="6929" width="12.42578125" style="300" customWidth="1"/>
    <col min="6930" max="6930" width="13.5703125" style="300" customWidth="1"/>
    <col min="6931" max="6931" width="2.5703125" style="300" customWidth="1"/>
    <col min="6932" max="6932" width="11.5703125" style="300" customWidth="1"/>
    <col min="6933" max="6933" width="13" style="300" customWidth="1"/>
    <col min="6934" max="6934" width="1.42578125" style="300" customWidth="1"/>
    <col min="6935" max="6935" width="10.5703125" style="300" customWidth="1"/>
    <col min="6936" max="7167" width="11" style="300"/>
    <col min="7168" max="7168" width="1.5703125" style="300" customWidth="1"/>
    <col min="7169" max="7169" width="8.5703125" style="300" customWidth="1"/>
    <col min="7170" max="7170" width="28.7109375" style="300" customWidth="1"/>
    <col min="7171" max="7171" width="26.5703125" style="300" customWidth="1"/>
    <col min="7172" max="7172" width="7.7109375" style="300" customWidth="1"/>
    <col min="7173" max="7173" width="19.42578125" style="300" customWidth="1"/>
    <col min="7174" max="7174" width="44.28515625" style="300" customWidth="1"/>
    <col min="7175" max="7175" width="17" style="300" customWidth="1"/>
    <col min="7176" max="7176" width="15.5703125" style="300" customWidth="1"/>
    <col min="7177" max="7177" width="14.140625" style="300" customWidth="1"/>
    <col min="7178" max="7178" width="1.7109375" style="300" customWidth="1"/>
    <col min="7179" max="7179" width="13.7109375" style="300" customWidth="1"/>
    <col min="7180" max="7180" width="13.85546875" style="300" bestFit="1" customWidth="1"/>
    <col min="7181" max="7181" width="2.5703125" style="300" customWidth="1"/>
    <col min="7182" max="7182" width="12.42578125" style="300" customWidth="1"/>
    <col min="7183" max="7183" width="13.5703125" style="300" customWidth="1"/>
    <col min="7184" max="7184" width="2.5703125" style="300" customWidth="1"/>
    <col min="7185" max="7185" width="12.42578125" style="300" customWidth="1"/>
    <col min="7186" max="7186" width="13.5703125" style="300" customWidth="1"/>
    <col min="7187" max="7187" width="2.5703125" style="300" customWidth="1"/>
    <col min="7188" max="7188" width="11.5703125" style="300" customWidth="1"/>
    <col min="7189" max="7189" width="13" style="300" customWidth="1"/>
    <col min="7190" max="7190" width="1.42578125" style="300" customWidth="1"/>
    <col min="7191" max="7191" width="10.5703125" style="300" customWidth="1"/>
    <col min="7192" max="7423" width="11" style="300"/>
    <col min="7424" max="7424" width="1.5703125" style="300" customWidth="1"/>
    <col min="7425" max="7425" width="8.5703125" style="300" customWidth="1"/>
    <col min="7426" max="7426" width="28.7109375" style="300" customWidth="1"/>
    <col min="7427" max="7427" width="26.5703125" style="300" customWidth="1"/>
    <col min="7428" max="7428" width="7.7109375" style="300" customWidth="1"/>
    <col min="7429" max="7429" width="19.42578125" style="300" customWidth="1"/>
    <col min="7430" max="7430" width="44.28515625" style="300" customWidth="1"/>
    <col min="7431" max="7431" width="17" style="300" customWidth="1"/>
    <col min="7432" max="7432" width="15.5703125" style="300" customWidth="1"/>
    <col min="7433" max="7433" width="14.140625" style="300" customWidth="1"/>
    <col min="7434" max="7434" width="1.7109375" style="300" customWidth="1"/>
    <col min="7435" max="7435" width="13.7109375" style="300" customWidth="1"/>
    <col min="7436" max="7436" width="13.85546875" style="300" bestFit="1" customWidth="1"/>
    <col min="7437" max="7437" width="2.5703125" style="300" customWidth="1"/>
    <col min="7438" max="7438" width="12.42578125" style="300" customWidth="1"/>
    <col min="7439" max="7439" width="13.5703125" style="300" customWidth="1"/>
    <col min="7440" max="7440" width="2.5703125" style="300" customWidth="1"/>
    <col min="7441" max="7441" width="12.42578125" style="300" customWidth="1"/>
    <col min="7442" max="7442" width="13.5703125" style="300" customWidth="1"/>
    <col min="7443" max="7443" width="2.5703125" style="300" customWidth="1"/>
    <col min="7444" max="7444" width="11.5703125" style="300" customWidth="1"/>
    <col min="7445" max="7445" width="13" style="300" customWidth="1"/>
    <col min="7446" max="7446" width="1.42578125" style="300" customWidth="1"/>
    <col min="7447" max="7447" width="10.5703125" style="300" customWidth="1"/>
    <col min="7448" max="7679" width="11" style="300"/>
    <col min="7680" max="7680" width="1.5703125" style="300" customWidth="1"/>
    <col min="7681" max="7681" width="8.5703125" style="300" customWidth="1"/>
    <col min="7682" max="7682" width="28.7109375" style="300" customWidth="1"/>
    <col min="7683" max="7683" width="26.5703125" style="300" customWidth="1"/>
    <col min="7684" max="7684" width="7.7109375" style="300" customWidth="1"/>
    <col min="7685" max="7685" width="19.42578125" style="300" customWidth="1"/>
    <col min="7686" max="7686" width="44.28515625" style="300" customWidth="1"/>
    <col min="7687" max="7687" width="17" style="300" customWidth="1"/>
    <col min="7688" max="7688" width="15.5703125" style="300" customWidth="1"/>
    <col min="7689" max="7689" width="14.140625" style="300" customWidth="1"/>
    <col min="7690" max="7690" width="1.7109375" style="300" customWidth="1"/>
    <col min="7691" max="7691" width="13.7109375" style="300" customWidth="1"/>
    <col min="7692" max="7692" width="13.85546875" style="300" bestFit="1" customWidth="1"/>
    <col min="7693" max="7693" width="2.5703125" style="300" customWidth="1"/>
    <col min="7694" max="7694" width="12.42578125" style="300" customWidth="1"/>
    <col min="7695" max="7695" width="13.5703125" style="300" customWidth="1"/>
    <col min="7696" max="7696" width="2.5703125" style="300" customWidth="1"/>
    <col min="7697" max="7697" width="12.42578125" style="300" customWidth="1"/>
    <col min="7698" max="7698" width="13.5703125" style="300" customWidth="1"/>
    <col min="7699" max="7699" width="2.5703125" style="300" customWidth="1"/>
    <col min="7700" max="7700" width="11.5703125" style="300" customWidth="1"/>
    <col min="7701" max="7701" width="13" style="300" customWidth="1"/>
    <col min="7702" max="7702" width="1.42578125" style="300" customWidth="1"/>
    <col min="7703" max="7703" width="10.5703125" style="300" customWidth="1"/>
    <col min="7704" max="7935" width="11" style="300"/>
    <col min="7936" max="7936" width="1.5703125" style="300" customWidth="1"/>
    <col min="7937" max="7937" width="8.5703125" style="300" customWidth="1"/>
    <col min="7938" max="7938" width="28.7109375" style="300" customWidth="1"/>
    <col min="7939" max="7939" width="26.5703125" style="300" customWidth="1"/>
    <col min="7940" max="7940" width="7.7109375" style="300" customWidth="1"/>
    <col min="7941" max="7941" width="19.42578125" style="300" customWidth="1"/>
    <col min="7942" max="7942" width="44.28515625" style="300" customWidth="1"/>
    <col min="7943" max="7943" width="17" style="300" customWidth="1"/>
    <col min="7944" max="7944" width="15.5703125" style="300" customWidth="1"/>
    <col min="7945" max="7945" width="14.140625" style="300" customWidth="1"/>
    <col min="7946" max="7946" width="1.7109375" style="300" customWidth="1"/>
    <col min="7947" max="7947" width="13.7109375" style="300" customWidth="1"/>
    <col min="7948" max="7948" width="13.85546875" style="300" bestFit="1" customWidth="1"/>
    <col min="7949" max="7949" width="2.5703125" style="300" customWidth="1"/>
    <col min="7950" max="7950" width="12.42578125" style="300" customWidth="1"/>
    <col min="7951" max="7951" width="13.5703125" style="300" customWidth="1"/>
    <col min="7952" max="7952" width="2.5703125" style="300" customWidth="1"/>
    <col min="7953" max="7953" width="12.42578125" style="300" customWidth="1"/>
    <col min="7954" max="7954" width="13.5703125" style="300" customWidth="1"/>
    <col min="7955" max="7955" width="2.5703125" style="300" customWidth="1"/>
    <col min="7956" max="7956" width="11.5703125" style="300" customWidth="1"/>
    <col min="7957" max="7957" width="13" style="300" customWidth="1"/>
    <col min="7958" max="7958" width="1.42578125" style="300" customWidth="1"/>
    <col min="7959" max="7959" width="10.5703125" style="300" customWidth="1"/>
    <col min="7960" max="8191" width="11" style="300"/>
    <col min="8192" max="8192" width="1.5703125" style="300" customWidth="1"/>
    <col min="8193" max="8193" width="8.5703125" style="300" customWidth="1"/>
    <col min="8194" max="8194" width="28.7109375" style="300" customWidth="1"/>
    <col min="8195" max="8195" width="26.5703125" style="300" customWidth="1"/>
    <col min="8196" max="8196" width="7.7109375" style="300" customWidth="1"/>
    <col min="8197" max="8197" width="19.42578125" style="300" customWidth="1"/>
    <col min="8198" max="8198" width="44.28515625" style="300" customWidth="1"/>
    <col min="8199" max="8199" width="17" style="300" customWidth="1"/>
    <col min="8200" max="8200" width="15.5703125" style="300" customWidth="1"/>
    <col min="8201" max="8201" width="14.140625" style="300" customWidth="1"/>
    <col min="8202" max="8202" width="1.7109375" style="300" customWidth="1"/>
    <col min="8203" max="8203" width="13.7109375" style="300" customWidth="1"/>
    <col min="8204" max="8204" width="13.85546875" style="300" bestFit="1" customWidth="1"/>
    <col min="8205" max="8205" width="2.5703125" style="300" customWidth="1"/>
    <col min="8206" max="8206" width="12.42578125" style="300" customWidth="1"/>
    <col min="8207" max="8207" width="13.5703125" style="300" customWidth="1"/>
    <col min="8208" max="8208" width="2.5703125" style="300" customWidth="1"/>
    <col min="8209" max="8209" width="12.42578125" style="300" customWidth="1"/>
    <col min="8210" max="8210" width="13.5703125" style="300" customWidth="1"/>
    <col min="8211" max="8211" width="2.5703125" style="300" customWidth="1"/>
    <col min="8212" max="8212" width="11.5703125" style="300" customWidth="1"/>
    <col min="8213" max="8213" width="13" style="300" customWidth="1"/>
    <col min="8214" max="8214" width="1.42578125" style="300" customWidth="1"/>
    <col min="8215" max="8215" width="10.5703125" style="300" customWidth="1"/>
    <col min="8216" max="8447" width="11" style="300"/>
    <col min="8448" max="8448" width="1.5703125" style="300" customWidth="1"/>
    <col min="8449" max="8449" width="8.5703125" style="300" customWidth="1"/>
    <col min="8450" max="8450" width="28.7109375" style="300" customWidth="1"/>
    <col min="8451" max="8451" width="26.5703125" style="300" customWidth="1"/>
    <col min="8452" max="8452" width="7.7109375" style="300" customWidth="1"/>
    <col min="8453" max="8453" width="19.42578125" style="300" customWidth="1"/>
    <col min="8454" max="8454" width="44.28515625" style="300" customWidth="1"/>
    <col min="8455" max="8455" width="17" style="300" customWidth="1"/>
    <col min="8456" max="8456" width="15.5703125" style="300" customWidth="1"/>
    <col min="8457" max="8457" width="14.140625" style="300" customWidth="1"/>
    <col min="8458" max="8458" width="1.7109375" style="300" customWidth="1"/>
    <col min="8459" max="8459" width="13.7109375" style="300" customWidth="1"/>
    <col min="8460" max="8460" width="13.85546875" style="300" bestFit="1" customWidth="1"/>
    <col min="8461" max="8461" width="2.5703125" style="300" customWidth="1"/>
    <col min="8462" max="8462" width="12.42578125" style="300" customWidth="1"/>
    <col min="8463" max="8463" width="13.5703125" style="300" customWidth="1"/>
    <col min="8464" max="8464" width="2.5703125" style="300" customWidth="1"/>
    <col min="8465" max="8465" width="12.42578125" style="300" customWidth="1"/>
    <col min="8466" max="8466" width="13.5703125" style="300" customWidth="1"/>
    <col min="8467" max="8467" width="2.5703125" style="300" customWidth="1"/>
    <col min="8468" max="8468" width="11.5703125" style="300" customWidth="1"/>
    <col min="8469" max="8469" width="13" style="300" customWidth="1"/>
    <col min="8470" max="8470" width="1.42578125" style="300" customWidth="1"/>
    <col min="8471" max="8471" width="10.5703125" style="300" customWidth="1"/>
    <col min="8472" max="8703" width="11" style="300"/>
    <col min="8704" max="8704" width="1.5703125" style="300" customWidth="1"/>
    <col min="8705" max="8705" width="8.5703125" style="300" customWidth="1"/>
    <col min="8706" max="8706" width="28.7109375" style="300" customWidth="1"/>
    <col min="8707" max="8707" width="26.5703125" style="300" customWidth="1"/>
    <col min="8708" max="8708" width="7.7109375" style="300" customWidth="1"/>
    <col min="8709" max="8709" width="19.42578125" style="300" customWidth="1"/>
    <col min="8710" max="8710" width="44.28515625" style="300" customWidth="1"/>
    <col min="8711" max="8711" width="17" style="300" customWidth="1"/>
    <col min="8712" max="8712" width="15.5703125" style="300" customWidth="1"/>
    <col min="8713" max="8713" width="14.140625" style="300" customWidth="1"/>
    <col min="8714" max="8714" width="1.7109375" style="300" customWidth="1"/>
    <col min="8715" max="8715" width="13.7109375" style="300" customWidth="1"/>
    <col min="8716" max="8716" width="13.85546875" style="300" bestFit="1" customWidth="1"/>
    <col min="8717" max="8717" width="2.5703125" style="300" customWidth="1"/>
    <col min="8718" max="8718" width="12.42578125" style="300" customWidth="1"/>
    <col min="8719" max="8719" width="13.5703125" style="300" customWidth="1"/>
    <col min="8720" max="8720" width="2.5703125" style="300" customWidth="1"/>
    <col min="8721" max="8721" width="12.42578125" style="300" customWidth="1"/>
    <col min="8722" max="8722" width="13.5703125" style="300" customWidth="1"/>
    <col min="8723" max="8723" width="2.5703125" style="300" customWidth="1"/>
    <col min="8724" max="8724" width="11.5703125" style="300" customWidth="1"/>
    <col min="8725" max="8725" width="13" style="300" customWidth="1"/>
    <col min="8726" max="8726" width="1.42578125" style="300" customWidth="1"/>
    <col min="8727" max="8727" width="10.5703125" style="300" customWidth="1"/>
    <col min="8728" max="8959" width="11" style="300"/>
    <col min="8960" max="8960" width="1.5703125" style="300" customWidth="1"/>
    <col min="8961" max="8961" width="8.5703125" style="300" customWidth="1"/>
    <col min="8962" max="8962" width="28.7109375" style="300" customWidth="1"/>
    <col min="8963" max="8963" width="26.5703125" style="300" customWidth="1"/>
    <col min="8964" max="8964" width="7.7109375" style="300" customWidth="1"/>
    <col min="8965" max="8965" width="19.42578125" style="300" customWidth="1"/>
    <col min="8966" max="8966" width="44.28515625" style="300" customWidth="1"/>
    <col min="8967" max="8967" width="17" style="300" customWidth="1"/>
    <col min="8968" max="8968" width="15.5703125" style="300" customWidth="1"/>
    <col min="8969" max="8969" width="14.140625" style="300" customWidth="1"/>
    <col min="8970" max="8970" width="1.7109375" style="300" customWidth="1"/>
    <col min="8971" max="8971" width="13.7109375" style="300" customWidth="1"/>
    <col min="8972" max="8972" width="13.85546875" style="300" bestFit="1" customWidth="1"/>
    <col min="8973" max="8973" width="2.5703125" style="300" customWidth="1"/>
    <col min="8974" max="8974" width="12.42578125" style="300" customWidth="1"/>
    <col min="8975" max="8975" width="13.5703125" style="300" customWidth="1"/>
    <col min="8976" max="8976" width="2.5703125" style="300" customWidth="1"/>
    <col min="8977" max="8977" width="12.42578125" style="300" customWidth="1"/>
    <col min="8978" max="8978" width="13.5703125" style="300" customWidth="1"/>
    <col min="8979" max="8979" width="2.5703125" style="300" customWidth="1"/>
    <col min="8980" max="8980" width="11.5703125" style="300" customWidth="1"/>
    <col min="8981" max="8981" width="13" style="300" customWidth="1"/>
    <col min="8982" max="8982" width="1.42578125" style="300" customWidth="1"/>
    <col min="8983" max="8983" width="10.5703125" style="300" customWidth="1"/>
    <col min="8984" max="9215" width="11" style="300"/>
    <col min="9216" max="9216" width="1.5703125" style="300" customWidth="1"/>
    <col min="9217" max="9217" width="8.5703125" style="300" customWidth="1"/>
    <col min="9218" max="9218" width="28.7109375" style="300" customWidth="1"/>
    <col min="9219" max="9219" width="26.5703125" style="300" customWidth="1"/>
    <col min="9220" max="9220" width="7.7109375" style="300" customWidth="1"/>
    <col min="9221" max="9221" width="19.42578125" style="300" customWidth="1"/>
    <col min="9222" max="9222" width="44.28515625" style="300" customWidth="1"/>
    <col min="9223" max="9223" width="17" style="300" customWidth="1"/>
    <col min="9224" max="9224" width="15.5703125" style="300" customWidth="1"/>
    <col min="9225" max="9225" width="14.140625" style="300" customWidth="1"/>
    <col min="9226" max="9226" width="1.7109375" style="300" customWidth="1"/>
    <col min="9227" max="9227" width="13.7109375" style="300" customWidth="1"/>
    <col min="9228" max="9228" width="13.85546875" style="300" bestFit="1" customWidth="1"/>
    <col min="9229" max="9229" width="2.5703125" style="300" customWidth="1"/>
    <col min="9230" max="9230" width="12.42578125" style="300" customWidth="1"/>
    <col min="9231" max="9231" width="13.5703125" style="300" customWidth="1"/>
    <col min="9232" max="9232" width="2.5703125" style="300" customWidth="1"/>
    <col min="9233" max="9233" width="12.42578125" style="300" customWidth="1"/>
    <col min="9234" max="9234" width="13.5703125" style="300" customWidth="1"/>
    <col min="9235" max="9235" width="2.5703125" style="300" customWidth="1"/>
    <col min="9236" max="9236" width="11.5703125" style="300" customWidth="1"/>
    <col min="9237" max="9237" width="13" style="300" customWidth="1"/>
    <col min="9238" max="9238" width="1.42578125" style="300" customWidth="1"/>
    <col min="9239" max="9239" width="10.5703125" style="300" customWidth="1"/>
    <col min="9240" max="9471" width="11" style="300"/>
    <col min="9472" max="9472" width="1.5703125" style="300" customWidth="1"/>
    <col min="9473" max="9473" width="8.5703125" style="300" customWidth="1"/>
    <col min="9474" max="9474" width="28.7109375" style="300" customWidth="1"/>
    <col min="9475" max="9475" width="26.5703125" style="300" customWidth="1"/>
    <col min="9476" max="9476" width="7.7109375" style="300" customWidth="1"/>
    <col min="9477" max="9477" width="19.42578125" style="300" customWidth="1"/>
    <col min="9478" max="9478" width="44.28515625" style="300" customWidth="1"/>
    <col min="9479" max="9479" width="17" style="300" customWidth="1"/>
    <col min="9480" max="9480" width="15.5703125" style="300" customWidth="1"/>
    <col min="9481" max="9481" width="14.140625" style="300" customWidth="1"/>
    <col min="9482" max="9482" width="1.7109375" style="300" customWidth="1"/>
    <col min="9483" max="9483" width="13.7109375" style="300" customWidth="1"/>
    <col min="9484" max="9484" width="13.85546875" style="300" bestFit="1" customWidth="1"/>
    <col min="9485" max="9485" width="2.5703125" style="300" customWidth="1"/>
    <col min="9486" max="9486" width="12.42578125" style="300" customWidth="1"/>
    <col min="9487" max="9487" width="13.5703125" style="300" customWidth="1"/>
    <col min="9488" max="9488" width="2.5703125" style="300" customWidth="1"/>
    <col min="9489" max="9489" width="12.42578125" style="300" customWidth="1"/>
    <col min="9490" max="9490" width="13.5703125" style="300" customWidth="1"/>
    <col min="9491" max="9491" width="2.5703125" style="300" customWidth="1"/>
    <col min="9492" max="9492" width="11.5703125" style="300" customWidth="1"/>
    <col min="9493" max="9493" width="13" style="300" customWidth="1"/>
    <col min="9494" max="9494" width="1.42578125" style="300" customWidth="1"/>
    <col min="9495" max="9495" width="10.5703125" style="300" customWidth="1"/>
    <col min="9496" max="9727" width="11" style="300"/>
    <col min="9728" max="9728" width="1.5703125" style="300" customWidth="1"/>
    <col min="9729" max="9729" width="8.5703125" style="300" customWidth="1"/>
    <col min="9730" max="9730" width="28.7109375" style="300" customWidth="1"/>
    <col min="9731" max="9731" width="26.5703125" style="300" customWidth="1"/>
    <col min="9732" max="9732" width="7.7109375" style="300" customWidth="1"/>
    <col min="9733" max="9733" width="19.42578125" style="300" customWidth="1"/>
    <col min="9734" max="9734" width="44.28515625" style="300" customWidth="1"/>
    <col min="9735" max="9735" width="17" style="300" customWidth="1"/>
    <col min="9736" max="9736" width="15.5703125" style="300" customWidth="1"/>
    <col min="9737" max="9737" width="14.140625" style="300" customWidth="1"/>
    <col min="9738" max="9738" width="1.7109375" style="300" customWidth="1"/>
    <col min="9739" max="9739" width="13.7109375" style="300" customWidth="1"/>
    <col min="9740" max="9740" width="13.85546875" style="300" bestFit="1" customWidth="1"/>
    <col min="9741" max="9741" width="2.5703125" style="300" customWidth="1"/>
    <col min="9742" max="9742" width="12.42578125" style="300" customWidth="1"/>
    <col min="9743" max="9743" width="13.5703125" style="300" customWidth="1"/>
    <col min="9744" max="9744" width="2.5703125" style="300" customWidth="1"/>
    <col min="9745" max="9745" width="12.42578125" style="300" customWidth="1"/>
    <col min="9746" max="9746" width="13.5703125" style="300" customWidth="1"/>
    <col min="9747" max="9747" width="2.5703125" style="300" customWidth="1"/>
    <col min="9748" max="9748" width="11.5703125" style="300" customWidth="1"/>
    <col min="9749" max="9749" width="13" style="300" customWidth="1"/>
    <col min="9750" max="9750" width="1.42578125" style="300" customWidth="1"/>
    <col min="9751" max="9751" width="10.5703125" style="300" customWidth="1"/>
    <col min="9752" max="9983" width="11" style="300"/>
    <col min="9984" max="9984" width="1.5703125" style="300" customWidth="1"/>
    <col min="9985" max="9985" width="8.5703125" style="300" customWidth="1"/>
    <col min="9986" max="9986" width="28.7109375" style="300" customWidth="1"/>
    <col min="9987" max="9987" width="26.5703125" style="300" customWidth="1"/>
    <col min="9988" max="9988" width="7.7109375" style="300" customWidth="1"/>
    <col min="9989" max="9989" width="19.42578125" style="300" customWidth="1"/>
    <col min="9990" max="9990" width="44.28515625" style="300" customWidth="1"/>
    <col min="9991" max="9991" width="17" style="300" customWidth="1"/>
    <col min="9992" max="9992" width="15.5703125" style="300" customWidth="1"/>
    <col min="9993" max="9993" width="14.140625" style="300" customWidth="1"/>
    <col min="9994" max="9994" width="1.7109375" style="300" customWidth="1"/>
    <col min="9995" max="9995" width="13.7109375" style="300" customWidth="1"/>
    <col min="9996" max="9996" width="13.85546875" style="300" bestFit="1" customWidth="1"/>
    <col min="9997" max="9997" width="2.5703125" style="300" customWidth="1"/>
    <col min="9998" max="9998" width="12.42578125" style="300" customWidth="1"/>
    <col min="9999" max="9999" width="13.5703125" style="300" customWidth="1"/>
    <col min="10000" max="10000" width="2.5703125" style="300" customWidth="1"/>
    <col min="10001" max="10001" width="12.42578125" style="300" customWidth="1"/>
    <col min="10002" max="10002" width="13.5703125" style="300" customWidth="1"/>
    <col min="10003" max="10003" width="2.5703125" style="300" customWidth="1"/>
    <col min="10004" max="10004" width="11.5703125" style="300" customWidth="1"/>
    <col min="10005" max="10005" width="13" style="300" customWidth="1"/>
    <col min="10006" max="10006" width="1.42578125" style="300" customWidth="1"/>
    <col min="10007" max="10007" width="10.5703125" style="300" customWidth="1"/>
    <col min="10008" max="10239" width="11" style="300"/>
    <col min="10240" max="10240" width="1.5703125" style="300" customWidth="1"/>
    <col min="10241" max="10241" width="8.5703125" style="300" customWidth="1"/>
    <col min="10242" max="10242" width="28.7109375" style="300" customWidth="1"/>
    <col min="10243" max="10243" width="26.5703125" style="300" customWidth="1"/>
    <col min="10244" max="10244" width="7.7109375" style="300" customWidth="1"/>
    <col min="10245" max="10245" width="19.42578125" style="300" customWidth="1"/>
    <col min="10246" max="10246" width="44.28515625" style="300" customWidth="1"/>
    <col min="10247" max="10247" width="17" style="300" customWidth="1"/>
    <col min="10248" max="10248" width="15.5703125" style="300" customWidth="1"/>
    <col min="10249" max="10249" width="14.140625" style="300" customWidth="1"/>
    <col min="10250" max="10250" width="1.7109375" style="300" customWidth="1"/>
    <col min="10251" max="10251" width="13.7109375" style="300" customWidth="1"/>
    <col min="10252" max="10252" width="13.85546875" style="300" bestFit="1" customWidth="1"/>
    <col min="10253" max="10253" width="2.5703125" style="300" customWidth="1"/>
    <col min="10254" max="10254" width="12.42578125" style="300" customWidth="1"/>
    <col min="10255" max="10255" width="13.5703125" style="300" customWidth="1"/>
    <col min="10256" max="10256" width="2.5703125" style="300" customWidth="1"/>
    <col min="10257" max="10257" width="12.42578125" style="300" customWidth="1"/>
    <col min="10258" max="10258" width="13.5703125" style="300" customWidth="1"/>
    <col min="10259" max="10259" width="2.5703125" style="300" customWidth="1"/>
    <col min="10260" max="10260" width="11.5703125" style="300" customWidth="1"/>
    <col min="10261" max="10261" width="13" style="300" customWidth="1"/>
    <col min="10262" max="10262" width="1.42578125" style="300" customWidth="1"/>
    <col min="10263" max="10263" width="10.5703125" style="300" customWidth="1"/>
    <col min="10264" max="10495" width="11" style="300"/>
    <col min="10496" max="10496" width="1.5703125" style="300" customWidth="1"/>
    <col min="10497" max="10497" width="8.5703125" style="300" customWidth="1"/>
    <col min="10498" max="10498" width="28.7109375" style="300" customWidth="1"/>
    <col min="10499" max="10499" width="26.5703125" style="300" customWidth="1"/>
    <col min="10500" max="10500" width="7.7109375" style="300" customWidth="1"/>
    <col min="10501" max="10501" width="19.42578125" style="300" customWidth="1"/>
    <col min="10502" max="10502" width="44.28515625" style="300" customWidth="1"/>
    <col min="10503" max="10503" width="17" style="300" customWidth="1"/>
    <col min="10504" max="10504" width="15.5703125" style="300" customWidth="1"/>
    <col min="10505" max="10505" width="14.140625" style="300" customWidth="1"/>
    <col min="10506" max="10506" width="1.7109375" style="300" customWidth="1"/>
    <col min="10507" max="10507" width="13.7109375" style="300" customWidth="1"/>
    <col min="10508" max="10508" width="13.85546875" style="300" bestFit="1" customWidth="1"/>
    <col min="10509" max="10509" width="2.5703125" style="300" customWidth="1"/>
    <col min="10510" max="10510" width="12.42578125" style="300" customWidth="1"/>
    <col min="10511" max="10511" width="13.5703125" style="300" customWidth="1"/>
    <col min="10512" max="10512" width="2.5703125" style="300" customWidth="1"/>
    <col min="10513" max="10513" width="12.42578125" style="300" customWidth="1"/>
    <col min="10514" max="10514" width="13.5703125" style="300" customWidth="1"/>
    <col min="10515" max="10515" width="2.5703125" style="300" customWidth="1"/>
    <col min="10516" max="10516" width="11.5703125" style="300" customWidth="1"/>
    <col min="10517" max="10517" width="13" style="300" customWidth="1"/>
    <col min="10518" max="10518" width="1.42578125" style="300" customWidth="1"/>
    <col min="10519" max="10519" width="10.5703125" style="300" customWidth="1"/>
    <col min="10520" max="10751" width="11" style="300"/>
    <col min="10752" max="10752" width="1.5703125" style="300" customWidth="1"/>
    <col min="10753" max="10753" width="8.5703125" style="300" customWidth="1"/>
    <col min="10754" max="10754" width="28.7109375" style="300" customWidth="1"/>
    <col min="10755" max="10755" width="26.5703125" style="300" customWidth="1"/>
    <col min="10756" max="10756" width="7.7109375" style="300" customWidth="1"/>
    <col min="10757" max="10757" width="19.42578125" style="300" customWidth="1"/>
    <col min="10758" max="10758" width="44.28515625" style="300" customWidth="1"/>
    <col min="10759" max="10759" width="17" style="300" customWidth="1"/>
    <col min="10760" max="10760" width="15.5703125" style="300" customWidth="1"/>
    <col min="10761" max="10761" width="14.140625" style="300" customWidth="1"/>
    <col min="10762" max="10762" width="1.7109375" style="300" customWidth="1"/>
    <col min="10763" max="10763" width="13.7109375" style="300" customWidth="1"/>
    <col min="10764" max="10764" width="13.85546875" style="300" bestFit="1" customWidth="1"/>
    <col min="10765" max="10765" width="2.5703125" style="300" customWidth="1"/>
    <col min="10766" max="10766" width="12.42578125" style="300" customWidth="1"/>
    <col min="10767" max="10767" width="13.5703125" style="300" customWidth="1"/>
    <col min="10768" max="10768" width="2.5703125" style="300" customWidth="1"/>
    <col min="10769" max="10769" width="12.42578125" style="300" customWidth="1"/>
    <col min="10770" max="10770" width="13.5703125" style="300" customWidth="1"/>
    <col min="10771" max="10771" width="2.5703125" style="300" customWidth="1"/>
    <col min="10772" max="10772" width="11.5703125" style="300" customWidth="1"/>
    <col min="10773" max="10773" width="13" style="300" customWidth="1"/>
    <col min="10774" max="10774" width="1.42578125" style="300" customWidth="1"/>
    <col min="10775" max="10775" width="10.5703125" style="300" customWidth="1"/>
    <col min="10776" max="11007" width="11" style="300"/>
    <col min="11008" max="11008" width="1.5703125" style="300" customWidth="1"/>
    <col min="11009" max="11009" width="8.5703125" style="300" customWidth="1"/>
    <col min="11010" max="11010" width="28.7109375" style="300" customWidth="1"/>
    <col min="11011" max="11011" width="26.5703125" style="300" customWidth="1"/>
    <col min="11012" max="11012" width="7.7109375" style="300" customWidth="1"/>
    <col min="11013" max="11013" width="19.42578125" style="300" customWidth="1"/>
    <col min="11014" max="11014" width="44.28515625" style="300" customWidth="1"/>
    <col min="11015" max="11015" width="17" style="300" customWidth="1"/>
    <col min="11016" max="11016" width="15.5703125" style="300" customWidth="1"/>
    <col min="11017" max="11017" width="14.140625" style="300" customWidth="1"/>
    <col min="11018" max="11018" width="1.7109375" style="300" customWidth="1"/>
    <col min="11019" max="11019" width="13.7109375" style="300" customWidth="1"/>
    <col min="11020" max="11020" width="13.85546875" style="300" bestFit="1" customWidth="1"/>
    <col min="11021" max="11021" width="2.5703125" style="300" customWidth="1"/>
    <col min="11022" max="11022" width="12.42578125" style="300" customWidth="1"/>
    <col min="11023" max="11023" width="13.5703125" style="300" customWidth="1"/>
    <col min="11024" max="11024" width="2.5703125" style="300" customWidth="1"/>
    <col min="11025" max="11025" width="12.42578125" style="300" customWidth="1"/>
    <col min="11026" max="11026" width="13.5703125" style="300" customWidth="1"/>
    <col min="11027" max="11027" width="2.5703125" style="300" customWidth="1"/>
    <col min="11028" max="11028" width="11.5703125" style="300" customWidth="1"/>
    <col min="11029" max="11029" width="13" style="300" customWidth="1"/>
    <col min="11030" max="11030" width="1.42578125" style="300" customWidth="1"/>
    <col min="11031" max="11031" width="10.5703125" style="300" customWidth="1"/>
    <col min="11032" max="11263" width="11" style="300"/>
    <col min="11264" max="11264" width="1.5703125" style="300" customWidth="1"/>
    <col min="11265" max="11265" width="8.5703125" style="300" customWidth="1"/>
    <col min="11266" max="11266" width="28.7109375" style="300" customWidth="1"/>
    <col min="11267" max="11267" width="26.5703125" style="300" customWidth="1"/>
    <col min="11268" max="11268" width="7.7109375" style="300" customWidth="1"/>
    <col min="11269" max="11269" width="19.42578125" style="300" customWidth="1"/>
    <col min="11270" max="11270" width="44.28515625" style="300" customWidth="1"/>
    <col min="11271" max="11271" width="17" style="300" customWidth="1"/>
    <col min="11272" max="11272" width="15.5703125" style="300" customWidth="1"/>
    <col min="11273" max="11273" width="14.140625" style="300" customWidth="1"/>
    <col min="11274" max="11274" width="1.7109375" style="300" customWidth="1"/>
    <col min="11275" max="11275" width="13.7109375" style="300" customWidth="1"/>
    <col min="11276" max="11276" width="13.85546875" style="300" bestFit="1" customWidth="1"/>
    <col min="11277" max="11277" width="2.5703125" style="300" customWidth="1"/>
    <col min="11278" max="11278" width="12.42578125" style="300" customWidth="1"/>
    <col min="11279" max="11279" width="13.5703125" style="300" customWidth="1"/>
    <col min="11280" max="11280" width="2.5703125" style="300" customWidth="1"/>
    <col min="11281" max="11281" width="12.42578125" style="300" customWidth="1"/>
    <col min="11282" max="11282" width="13.5703125" style="300" customWidth="1"/>
    <col min="11283" max="11283" width="2.5703125" style="300" customWidth="1"/>
    <col min="11284" max="11284" width="11.5703125" style="300" customWidth="1"/>
    <col min="11285" max="11285" width="13" style="300" customWidth="1"/>
    <col min="11286" max="11286" width="1.42578125" style="300" customWidth="1"/>
    <col min="11287" max="11287" width="10.5703125" style="300" customWidth="1"/>
    <col min="11288" max="11519" width="11" style="300"/>
    <col min="11520" max="11520" width="1.5703125" style="300" customWidth="1"/>
    <col min="11521" max="11521" width="8.5703125" style="300" customWidth="1"/>
    <col min="11522" max="11522" width="28.7109375" style="300" customWidth="1"/>
    <col min="11523" max="11523" width="26.5703125" style="300" customWidth="1"/>
    <col min="11524" max="11524" width="7.7109375" style="300" customWidth="1"/>
    <col min="11525" max="11525" width="19.42578125" style="300" customWidth="1"/>
    <col min="11526" max="11526" width="44.28515625" style="300" customWidth="1"/>
    <col min="11527" max="11527" width="17" style="300" customWidth="1"/>
    <col min="11528" max="11528" width="15.5703125" style="300" customWidth="1"/>
    <col min="11529" max="11529" width="14.140625" style="300" customWidth="1"/>
    <col min="11530" max="11530" width="1.7109375" style="300" customWidth="1"/>
    <col min="11531" max="11531" width="13.7109375" style="300" customWidth="1"/>
    <col min="11532" max="11532" width="13.85546875" style="300" bestFit="1" customWidth="1"/>
    <col min="11533" max="11533" width="2.5703125" style="300" customWidth="1"/>
    <col min="11534" max="11534" width="12.42578125" style="300" customWidth="1"/>
    <col min="11535" max="11535" width="13.5703125" style="300" customWidth="1"/>
    <col min="11536" max="11536" width="2.5703125" style="300" customWidth="1"/>
    <col min="11537" max="11537" width="12.42578125" style="300" customWidth="1"/>
    <col min="11538" max="11538" width="13.5703125" style="300" customWidth="1"/>
    <col min="11539" max="11539" width="2.5703125" style="300" customWidth="1"/>
    <col min="11540" max="11540" width="11.5703125" style="300" customWidth="1"/>
    <col min="11541" max="11541" width="13" style="300" customWidth="1"/>
    <col min="11542" max="11542" width="1.42578125" style="300" customWidth="1"/>
    <col min="11543" max="11543" width="10.5703125" style="300" customWidth="1"/>
    <col min="11544" max="11775" width="11" style="300"/>
    <col min="11776" max="11776" width="1.5703125" style="300" customWidth="1"/>
    <col min="11777" max="11777" width="8.5703125" style="300" customWidth="1"/>
    <col min="11778" max="11778" width="28.7109375" style="300" customWidth="1"/>
    <col min="11779" max="11779" width="26.5703125" style="300" customWidth="1"/>
    <col min="11780" max="11780" width="7.7109375" style="300" customWidth="1"/>
    <col min="11781" max="11781" width="19.42578125" style="300" customWidth="1"/>
    <col min="11782" max="11782" width="44.28515625" style="300" customWidth="1"/>
    <col min="11783" max="11783" width="17" style="300" customWidth="1"/>
    <col min="11784" max="11784" width="15.5703125" style="300" customWidth="1"/>
    <col min="11785" max="11785" width="14.140625" style="300" customWidth="1"/>
    <col min="11786" max="11786" width="1.7109375" style="300" customWidth="1"/>
    <col min="11787" max="11787" width="13.7109375" style="300" customWidth="1"/>
    <col min="11788" max="11788" width="13.85546875" style="300" bestFit="1" customWidth="1"/>
    <col min="11789" max="11789" width="2.5703125" style="300" customWidth="1"/>
    <col min="11790" max="11790" width="12.42578125" style="300" customWidth="1"/>
    <col min="11791" max="11791" width="13.5703125" style="300" customWidth="1"/>
    <col min="11792" max="11792" width="2.5703125" style="300" customWidth="1"/>
    <col min="11793" max="11793" width="12.42578125" style="300" customWidth="1"/>
    <col min="11794" max="11794" width="13.5703125" style="300" customWidth="1"/>
    <col min="11795" max="11795" width="2.5703125" style="300" customWidth="1"/>
    <col min="11796" max="11796" width="11.5703125" style="300" customWidth="1"/>
    <col min="11797" max="11797" width="13" style="300" customWidth="1"/>
    <col min="11798" max="11798" width="1.42578125" style="300" customWidth="1"/>
    <col min="11799" max="11799" width="10.5703125" style="300" customWidth="1"/>
    <col min="11800" max="12031" width="11" style="300"/>
    <col min="12032" max="12032" width="1.5703125" style="300" customWidth="1"/>
    <col min="12033" max="12033" width="8.5703125" style="300" customWidth="1"/>
    <col min="12034" max="12034" width="28.7109375" style="300" customWidth="1"/>
    <col min="12035" max="12035" width="26.5703125" style="300" customWidth="1"/>
    <col min="12036" max="12036" width="7.7109375" style="300" customWidth="1"/>
    <col min="12037" max="12037" width="19.42578125" style="300" customWidth="1"/>
    <col min="12038" max="12038" width="44.28515625" style="300" customWidth="1"/>
    <col min="12039" max="12039" width="17" style="300" customWidth="1"/>
    <col min="12040" max="12040" width="15.5703125" style="300" customWidth="1"/>
    <col min="12041" max="12041" width="14.140625" style="300" customWidth="1"/>
    <col min="12042" max="12042" width="1.7109375" style="300" customWidth="1"/>
    <col min="12043" max="12043" width="13.7109375" style="300" customWidth="1"/>
    <col min="12044" max="12044" width="13.85546875" style="300" bestFit="1" customWidth="1"/>
    <col min="12045" max="12045" width="2.5703125" style="300" customWidth="1"/>
    <col min="12046" max="12046" width="12.42578125" style="300" customWidth="1"/>
    <col min="12047" max="12047" width="13.5703125" style="300" customWidth="1"/>
    <col min="12048" max="12048" width="2.5703125" style="300" customWidth="1"/>
    <col min="12049" max="12049" width="12.42578125" style="300" customWidth="1"/>
    <col min="12050" max="12050" width="13.5703125" style="300" customWidth="1"/>
    <col min="12051" max="12051" width="2.5703125" style="300" customWidth="1"/>
    <col min="12052" max="12052" width="11.5703125" style="300" customWidth="1"/>
    <col min="12053" max="12053" width="13" style="300" customWidth="1"/>
    <col min="12054" max="12054" width="1.42578125" style="300" customWidth="1"/>
    <col min="12055" max="12055" width="10.5703125" style="300" customWidth="1"/>
    <col min="12056" max="12287" width="11" style="300"/>
    <col min="12288" max="12288" width="1.5703125" style="300" customWidth="1"/>
    <col min="12289" max="12289" width="8.5703125" style="300" customWidth="1"/>
    <col min="12290" max="12290" width="28.7109375" style="300" customWidth="1"/>
    <col min="12291" max="12291" width="26.5703125" style="300" customWidth="1"/>
    <col min="12292" max="12292" width="7.7109375" style="300" customWidth="1"/>
    <col min="12293" max="12293" width="19.42578125" style="300" customWidth="1"/>
    <col min="12294" max="12294" width="44.28515625" style="300" customWidth="1"/>
    <col min="12295" max="12295" width="17" style="300" customWidth="1"/>
    <col min="12296" max="12296" width="15.5703125" style="300" customWidth="1"/>
    <col min="12297" max="12297" width="14.140625" style="300" customWidth="1"/>
    <col min="12298" max="12298" width="1.7109375" style="300" customWidth="1"/>
    <col min="12299" max="12299" width="13.7109375" style="300" customWidth="1"/>
    <col min="12300" max="12300" width="13.85546875" style="300" bestFit="1" customWidth="1"/>
    <col min="12301" max="12301" width="2.5703125" style="300" customWidth="1"/>
    <col min="12302" max="12302" width="12.42578125" style="300" customWidth="1"/>
    <col min="12303" max="12303" width="13.5703125" style="300" customWidth="1"/>
    <col min="12304" max="12304" width="2.5703125" style="300" customWidth="1"/>
    <col min="12305" max="12305" width="12.42578125" style="300" customWidth="1"/>
    <col min="12306" max="12306" width="13.5703125" style="300" customWidth="1"/>
    <col min="12307" max="12307" width="2.5703125" style="300" customWidth="1"/>
    <col min="12308" max="12308" width="11.5703125" style="300" customWidth="1"/>
    <col min="12309" max="12309" width="13" style="300" customWidth="1"/>
    <col min="12310" max="12310" width="1.42578125" style="300" customWidth="1"/>
    <col min="12311" max="12311" width="10.5703125" style="300" customWidth="1"/>
    <col min="12312" max="12543" width="11" style="300"/>
    <col min="12544" max="12544" width="1.5703125" style="300" customWidth="1"/>
    <col min="12545" max="12545" width="8.5703125" style="300" customWidth="1"/>
    <col min="12546" max="12546" width="28.7109375" style="300" customWidth="1"/>
    <col min="12547" max="12547" width="26.5703125" style="300" customWidth="1"/>
    <col min="12548" max="12548" width="7.7109375" style="300" customWidth="1"/>
    <col min="12549" max="12549" width="19.42578125" style="300" customWidth="1"/>
    <col min="12550" max="12550" width="44.28515625" style="300" customWidth="1"/>
    <col min="12551" max="12551" width="17" style="300" customWidth="1"/>
    <col min="12552" max="12552" width="15.5703125" style="300" customWidth="1"/>
    <col min="12553" max="12553" width="14.140625" style="300" customWidth="1"/>
    <col min="12554" max="12554" width="1.7109375" style="300" customWidth="1"/>
    <col min="12555" max="12555" width="13.7109375" style="300" customWidth="1"/>
    <col min="12556" max="12556" width="13.85546875" style="300" bestFit="1" customWidth="1"/>
    <col min="12557" max="12557" width="2.5703125" style="300" customWidth="1"/>
    <col min="12558" max="12558" width="12.42578125" style="300" customWidth="1"/>
    <col min="12559" max="12559" width="13.5703125" style="300" customWidth="1"/>
    <col min="12560" max="12560" width="2.5703125" style="300" customWidth="1"/>
    <col min="12561" max="12561" width="12.42578125" style="300" customWidth="1"/>
    <col min="12562" max="12562" width="13.5703125" style="300" customWidth="1"/>
    <col min="12563" max="12563" width="2.5703125" style="300" customWidth="1"/>
    <col min="12564" max="12564" width="11.5703125" style="300" customWidth="1"/>
    <col min="12565" max="12565" width="13" style="300" customWidth="1"/>
    <col min="12566" max="12566" width="1.42578125" style="300" customWidth="1"/>
    <col min="12567" max="12567" width="10.5703125" style="300" customWidth="1"/>
    <col min="12568" max="12799" width="11" style="300"/>
    <col min="12800" max="12800" width="1.5703125" style="300" customWidth="1"/>
    <col min="12801" max="12801" width="8.5703125" style="300" customWidth="1"/>
    <col min="12802" max="12802" width="28.7109375" style="300" customWidth="1"/>
    <col min="12803" max="12803" width="26.5703125" style="300" customWidth="1"/>
    <col min="12804" max="12804" width="7.7109375" style="300" customWidth="1"/>
    <col min="12805" max="12805" width="19.42578125" style="300" customWidth="1"/>
    <col min="12806" max="12806" width="44.28515625" style="300" customWidth="1"/>
    <col min="12807" max="12807" width="17" style="300" customWidth="1"/>
    <col min="12808" max="12808" width="15.5703125" style="300" customWidth="1"/>
    <col min="12809" max="12809" width="14.140625" style="300" customWidth="1"/>
    <col min="12810" max="12810" width="1.7109375" style="300" customWidth="1"/>
    <col min="12811" max="12811" width="13.7109375" style="300" customWidth="1"/>
    <col min="12812" max="12812" width="13.85546875" style="300" bestFit="1" customWidth="1"/>
    <col min="12813" max="12813" width="2.5703125" style="300" customWidth="1"/>
    <col min="12814" max="12814" width="12.42578125" style="300" customWidth="1"/>
    <col min="12815" max="12815" width="13.5703125" style="300" customWidth="1"/>
    <col min="12816" max="12816" width="2.5703125" style="300" customWidth="1"/>
    <col min="12817" max="12817" width="12.42578125" style="300" customWidth="1"/>
    <col min="12818" max="12818" width="13.5703125" style="300" customWidth="1"/>
    <col min="12819" max="12819" width="2.5703125" style="300" customWidth="1"/>
    <col min="12820" max="12820" width="11.5703125" style="300" customWidth="1"/>
    <col min="12821" max="12821" width="13" style="300" customWidth="1"/>
    <col min="12822" max="12822" width="1.42578125" style="300" customWidth="1"/>
    <col min="12823" max="12823" width="10.5703125" style="300" customWidth="1"/>
    <col min="12824" max="13055" width="11" style="300"/>
    <col min="13056" max="13056" width="1.5703125" style="300" customWidth="1"/>
    <col min="13057" max="13057" width="8.5703125" style="300" customWidth="1"/>
    <col min="13058" max="13058" width="28.7109375" style="300" customWidth="1"/>
    <col min="13059" max="13059" width="26.5703125" style="300" customWidth="1"/>
    <col min="13060" max="13060" width="7.7109375" style="300" customWidth="1"/>
    <col min="13061" max="13061" width="19.42578125" style="300" customWidth="1"/>
    <col min="13062" max="13062" width="44.28515625" style="300" customWidth="1"/>
    <col min="13063" max="13063" width="17" style="300" customWidth="1"/>
    <col min="13064" max="13064" width="15.5703125" style="300" customWidth="1"/>
    <col min="13065" max="13065" width="14.140625" style="300" customWidth="1"/>
    <col min="13066" max="13066" width="1.7109375" style="300" customWidth="1"/>
    <col min="13067" max="13067" width="13.7109375" style="300" customWidth="1"/>
    <col min="13068" max="13068" width="13.85546875" style="300" bestFit="1" customWidth="1"/>
    <col min="13069" max="13069" width="2.5703125" style="300" customWidth="1"/>
    <col min="13070" max="13070" width="12.42578125" style="300" customWidth="1"/>
    <col min="13071" max="13071" width="13.5703125" style="300" customWidth="1"/>
    <col min="13072" max="13072" width="2.5703125" style="300" customWidth="1"/>
    <col min="13073" max="13073" width="12.42578125" style="300" customWidth="1"/>
    <col min="13074" max="13074" width="13.5703125" style="300" customWidth="1"/>
    <col min="13075" max="13075" width="2.5703125" style="300" customWidth="1"/>
    <col min="13076" max="13076" width="11.5703125" style="300" customWidth="1"/>
    <col min="13077" max="13077" width="13" style="300" customWidth="1"/>
    <col min="13078" max="13078" width="1.42578125" style="300" customWidth="1"/>
    <col min="13079" max="13079" width="10.5703125" style="300" customWidth="1"/>
    <col min="13080" max="13311" width="11" style="300"/>
    <col min="13312" max="13312" width="1.5703125" style="300" customWidth="1"/>
    <col min="13313" max="13313" width="8.5703125" style="300" customWidth="1"/>
    <col min="13314" max="13314" width="28.7109375" style="300" customWidth="1"/>
    <col min="13315" max="13315" width="26.5703125" style="300" customWidth="1"/>
    <col min="13316" max="13316" width="7.7109375" style="300" customWidth="1"/>
    <col min="13317" max="13317" width="19.42578125" style="300" customWidth="1"/>
    <col min="13318" max="13318" width="44.28515625" style="300" customWidth="1"/>
    <col min="13319" max="13319" width="17" style="300" customWidth="1"/>
    <col min="13320" max="13320" width="15.5703125" style="300" customWidth="1"/>
    <col min="13321" max="13321" width="14.140625" style="300" customWidth="1"/>
    <col min="13322" max="13322" width="1.7109375" style="300" customWidth="1"/>
    <col min="13323" max="13323" width="13.7109375" style="300" customWidth="1"/>
    <col min="13324" max="13324" width="13.85546875" style="300" bestFit="1" customWidth="1"/>
    <col min="13325" max="13325" width="2.5703125" style="300" customWidth="1"/>
    <col min="13326" max="13326" width="12.42578125" style="300" customWidth="1"/>
    <col min="13327" max="13327" width="13.5703125" style="300" customWidth="1"/>
    <col min="13328" max="13328" width="2.5703125" style="300" customWidth="1"/>
    <col min="13329" max="13329" width="12.42578125" style="300" customWidth="1"/>
    <col min="13330" max="13330" width="13.5703125" style="300" customWidth="1"/>
    <col min="13331" max="13331" width="2.5703125" style="300" customWidth="1"/>
    <col min="13332" max="13332" width="11.5703125" style="300" customWidth="1"/>
    <col min="13333" max="13333" width="13" style="300" customWidth="1"/>
    <col min="13334" max="13334" width="1.42578125" style="300" customWidth="1"/>
    <col min="13335" max="13335" width="10.5703125" style="300" customWidth="1"/>
    <col min="13336" max="13567" width="11" style="300"/>
    <col min="13568" max="13568" width="1.5703125" style="300" customWidth="1"/>
    <col min="13569" max="13569" width="8.5703125" style="300" customWidth="1"/>
    <col min="13570" max="13570" width="28.7109375" style="300" customWidth="1"/>
    <col min="13571" max="13571" width="26.5703125" style="300" customWidth="1"/>
    <col min="13572" max="13572" width="7.7109375" style="300" customWidth="1"/>
    <col min="13573" max="13573" width="19.42578125" style="300" customWidth="1"/>
    <col min="13574" max="13574" width="44.28515625" style="300" customWidth="1"/>
    <col min="13575" max="13575" width="17" style="300" customWidth="1"/>
    <col min="13576" max="13576" width="15.5703125" style="300" customWidth="1"/>
    <col min="13577" max="13577" width="14.140625" style="300" customWidth="1"/>
    <col min="13578" max="13578" width="1.7109375" style="300" customWidth="1"/>
    <col min="13579" max="13579" width="13.7109375" style="300" customWidth="1"/>
    <col min="13580" max="13580" width="13.85546875" style="300" bestFit="1" customWidth="1"/>
    <col min="13581" max="13581" width="2.5703125" style="300" customWidth="1"/>
    <col min="13582" max="13582" width="12.42578125" style="300" customWidth="1"/>
    <col min="13583" max="13583" width="13.5703125" style="300" customWidth="1"/>
    <col min="13584" max="13584" width="2.5703125" style="300" customWidth="1"/>
    <col min="13585" max="13585" width="12.42578125" style="300" customWidth="1"/>
    <col min="13586" max="13586" width="13.5703125" style="300" customWidth="1"/>
    <col min="13587" max="13587" width="2.5703125" style="300" customWidth="1"/>
    <col min="13588" max="13588" width="11.5703125" style="300" customWidth="1"/>
    <col min="13589" max="13589" width="13" style="300" customWidth="1"/>
    <col min="13590" max="13590" width="1.42578125" style="300" customWidth="1"/>
    <col min="13591" max="13591" width="10.5703125" style="300" customWidth="1"/>
    <col min="13592" max="13823" width="11" style="300"/>
    <col min="13824" max="13824" width="1.5703125" style="300" customWidth="1"/>
    <col min="13825" max="13825" width="8.5703125" style="300" customWidth="1"/>
    <col min="13826" max="13826" width="28.7109375" style="300" customWidth="1"/>
    <col min="13827" max="13827" width="26.5703125" style="300" customWidth="1"/>
    <col min="13828" max="13828" width="7.7109375" style="300" customWidth="1"/>
    <col min="13829" max="13829" width="19.42578125" style="300" customWidth="1"/>
    <col min="13830" max="13830" width="44.28515625" style="300" customWidth="1"/>
    <col min="13831" max="13831" width="17" style="300" customWidth="1"/>
    <col min="13832" max="13832" width="15.5703125" style="300" customWidth="1"/>
    <col min="13833" max="13833" width="14.140625" style="300" customWidth="1"/>
    <col min="13834" max="13834" width="1.7109375" style="300" customWidth="1"/>
    <col min="13835" max="13835" width="13.7109375" style="300" customWidth="1"/>
    <col min="13836" max="13836" width="13.85546875" style="300" bestFit="1" customWidth="1"/>
    <col min="13837" max="13837" width="2.5703125" style="300" customWidth="1"/>
    <col min="13838" max="13838" width="12.42578125" style="300" customWidth="1"/>
    <col min="13839" max="13839" width="13.5703125" style="300" customWidth="1"/>
    <col min="13840" max="13840" width="2.5703125" style="300" customWidth="1"/>
    <col min="13841" max="13841" width="12.42578125" style="300" customWidth="1"/>
    <col min="13842" max="13842" width="13.5703125" style="300" customWidth="1"/>
    <col min="13843" max="13843" width="2.5703125" style="300" customWidth="1"/>
    <col min="13844" max="13844" width="11.5703125" style="300" customWidth="1"/>
    <col min="13845" max="13845" width="13" style="300" customWidth="1"/>
    <col min="13846" max="13846" width="1.42578125" style="300" customWidth="1"/>
    <col min="13847" max="13847" width="10.5703125" style="300" customWidth="1"/>
    <col min="13848" max="14079" width="11" style="300"/>
    <col min="14080" max="14080" width="1.5703125" style="300" customWidth="1"/>
    <col min="14081" max="14081" width="8.5703125" style="300" customWidth="1"/>
    <col min="14082" max="14082" width="28.7109375" style="300" customWidth="1"/>
    <col min="14083" max="14083" width="26.5703125" style="300" customWidth="1"/>
    <col min="14084" max="14084" width="7.7109375" style="300" customWidth="1"/>
    <col min="14085" max="14085" width="19.42578125" style="300" customWidth="1"/>
    <col min="14086" max="14086" width="44.28515625" style="300" customWidth="1"/>
    <col min="14087" max="14087" width="17" style="300" customWidth="1"/>
    <col min="14088" max="14088" width="15.5703125" style="300" customWidth="1"/>
    <col min="14089" max="14089" width="14.140625" style="300" customWidth="1"/>
    <col min="14090" max="14090" width="1.7109375" style="300" customWidth="1"/>
    <col min="14091" max="14091" width="13.7109375" style="300" customWidth="1"/>
    <col min="14092" max="14092" width="13.85546875" style="300" bestFit="1" customWidth="1"/>
    <col min="14093" max="14093" width="2.5703125" style="300" customWidth="1"/>
    <col min="14094" max="14094" width="12.42578125" style="300" customWidth="1"/>
    <col min="14095" max="14095" width="13.5703125" style="300" customWidth="1"/>
    <col min="14096" max="14096" width="2.5703125" style="300" customWidth="1"/>
    <col min="14097" max="14097" width="12.42578125" style="300" customWidth="1"/>
    <col min="14098" max="14098" width="13.5703125" style="300" customWidth="1"/>
    <col min="14099" max="14099" width="2.5703125" style="300" customWidth="1"/>
    <col min="14100" max="14100" width="11.5703125" style="300" customWidth="1"/>
    <col min="14101" max="14101" width="13" style="300" customWidth="1"/>
    <col min="14102" max="14102" width="1.42578125" style="300" customWidth="1"/>
    <col min="14103" max="14103" width="10.5703125" style="300" customWidth="1"/>
    <col min="14104" max="14335" width="11" style="300"/>
    <col min="14336" max="14336" width="1.5703125" style="300" customWidth="1"/>
    <col min="14337" max="14337" width="8.5703125" style="300" customWidth="1"/>
    <col min="14338" max="14338" width="28.7109375" style="300" customWidth="1"/>
    <col min="14339" max="14339" width="26.5703125" style="300" customWidth="1"/>
    <col min="14340" max="14340" width="7.7109375" style="300" customWidth="1"/>
    <col min="14341" max="14341" width="19.42578125" style="300" customWidth="1"/>
    <col min="14342" max="14342" width="44.28515625" style="300" customWidth="1"/>
    <col min="14343" max="14343" width="17" style="300" customWidth="1"/>
    <col min="14344" max="14344" width="15.5703125" style="300" customWidth="1"/>
    <col min="14345" max="14345" width="14.140625" style="300" customWidth="1"/>
    <col min="14346" max="14346" width="1.7109375" style="300" customWidth="1"/>
    <col min="14347" max="14347" width="13.7109375" style="300" customWidth="1"/>
    <col min="14348" max="14348" width="13.85546875" style="300" bestFit="1" customWidth="1"/>
    <col min="14349" max="14349" width="2.5703125" style="300" customWidth="1"/>
    <col min="14350" max="14350" width="12.42578125" style="300" customWidth="1"/>
    <col min="14351" max="14351" width="13.5703125" style="300" customWidth="1"/>
    <col min="14352" max="14352" width="2.5703125" style="300" customWidth="1"/>
    <col min="14353" max="14353" width="12.42578125" style="300" customWidth="1"/>
    <col min="14354" max="14354" width="13.5703125" style="300" customWidth="1"/>
    <col min="14355" max="14355" width="2.5703125" style="300" customWidth="1"/>
    <col min="14356" max="14356" width="11.5703125" style="300" customWidth="1"/>
    <col min="14357" max="14357" width="13" style="300" customWidth="1"/>
    <col min="14358" max="14358" width="1.42578125" style="300" customWidth="1"/>
    <col min="14359" max="14359" width="10.5703125" style="300" customWidth="1"/>
    <col min="14360" max="14591" width="11" style="300"/>
    <col min="14592" max="14592" width="1.5703125" style="300" customWidth="1"/>
    <col min="14593" max="14593" width="8.5703125" style="300" customWidth="1"/>
    <col min="14594" max="14594" width="28.7109375" style="300" customWidth="1"/>
    <col min="14595" max="14595" width="26.5703125" style="300" customWidth="1"/>
    <col min="14596" max="14596" width="7.7109375" style="300" customWidth="1"/>
    <col min="14597" max="14597" width="19.42578125" style="300" customWidth="1"/>
    <col min="14598" max="14598" width="44.28515625" style="300" customWidth="1"/>
    <col min="14599" max="14599" width="17" style="300" customWidth="1"/>
    <col min="14600" max="14600" width="15.5703125" style="300" customWidth="1"/>
    <col min="14601" max="14601" width="14.140625" style="300" customWidth="1"/>
    <col min="14602" max="14602" width="1.7109375" style="300" customWidth="1"/>
    <col min="14603" max="14603" width="13.7109375" style="300" customWidth="1"/>
    <col min="14604" max="14604" width="13.85546875" style="300" bestFit="1" customWidth="1"/>
    <col min="14605" max="14605" width="2.5703125" style="300" customWidth="1"/>
    <col min="14606" max="14606" width="12.42578125" style="300" customWidth="1"/>
    <col min="14607" max="14607" width="13.5703125" style="300" customWidth="1"/>
    <col min="14608" max="14608" width="2.5703125" style="300" customWidth="1"/>
    <col min="14609" max="14609" width="12.42578125" style="300" customWidth="1"/>
    <col min="14610" max="14610" width="13.5703125" style="300" customWidth="1"/>
    <col min="14611" max="14611" width="2.5703125" style="300" customWidth="1"/>
    <col min="14612" max="14612" width="11.5703125" style="300" customWidth="1"/>
    <col min="14613" max="14613" width="13" style="300" customWidth="1"/>
    <col min="14614" max="14614" width="1.42578125" style="300" customWidth="1"/>
    <col min="14615" max="14615" width="10.5703125" style="300" customWidth="1"/>
    <col min="14616" max="14847" width="11" style="300"/>
    <col min="14848" max="14848" width="1.5703125" style="300" customWidth="1"/>
    <col min="14849" max="14849" width="8.5703125" style="300" customWidth="1"/>
    <col min="14850" max="14850" width="28.7109375" style="300" customWidth="1"/>
    <col min="14851" max="14851" width="26.5703125" style="300" customWidth="1"/>
    <col min="14852" max="14852" width="7.7109375" style="300" customWidth="1"/>
    <col min="14853" max="14853" width="19.42578125" style="300" customWidth="1"/>
    <col min="14854" max="14854" width="44.28515625" style="300" customWidth="1"/>
    <col min="14855" max="14855" width="17" style="300" customWidth="1"/>
    <col min="14856" max="14856" width="15.5703125" style="300" customWidth="1"/>
    <col min="14857" max="14857" width="14.140625" style="300" customWidth="1"/>
    <col min="14858" max="14858" width="1.7109375" style="300" customWidth="1"/>
    <col min="14859" max="14859" width="13.7109375" style="300" customWidth="1"/>
    <col min="14860" max="14860" width="13.85546875" style="300" bestFit="1" customWidth="1"/>
    <col min="14861" max="14861" width="2.5703125" style="300" customWidth="1"/>
    <col min="14862" max="14862" width="12.42578125" style="300" customWidth="1"/>
    <col min="14863" max="14863" width="13.5703125" style="300" customWidth="1"/>
    <col min="14864" max="14864" width="2.5703125" style="300" customWidth="1"/>
    <col min="14865" max="14865" width="12.42578125" style="300" customWidth="1"/>
    <col min="14866" max="14866" width="13.5703125" style="300" customWidth="1"/>
    <col min="14867" max="14867" width="2.5703125" style="300" customWidth="1"/>
    <col min="14868" max="14868" width="11.5703125" style="300" customWidth="1"/>
    <col min="14869" max="14869" width="13" style="300" customWidth="1"/>
    <col min="14870" max="14870" width="1.42578125" style="300" customWidth="1"/>
    <col min="14871" max="14871" width="10.5703125" style="300" customWidth="1"/>
    <col min="14872" max="15103" width="11" style="300"/>
    <col min="15104" max="15104" width="1.5703125" style="300" customWidth="1"/>
    <col min="15105" max="15105" width="8.5703125" style="300" customWidth="1"/>
    <col min="15106" max="15106" width="28.7109375" style="300" customWidth="1"/>
    <col min="15107" max="15107" width="26.5703125" style="300" customWidth="1"/>
    <col min="15108" max="15108" width="7.7109375" style="300" customWidth="1"/>
    <col min="15109" max="15109" width="19.42578125" style="300" customWidth="1"/>
    <col min="15110" max="15110" width="44.28515625" style="300" customWidth="1"/>
    <col min="15111" max="15111" width="17" style="300" customWidth="1"/>
    <col min="15112" max="15112" width="15.5703125" style="300" customWidth="1"/>
    <col min="15113" max="15113" width="14.140625" style="300" customWidth="1"/>
    <col min="15114" max="15114" width="1.7109375" style="300" customWidth="1"/>
    <col min="15115" max="15115" width="13.7109375" style="300" customWidth="1"/>
    <col min="15116" max="15116" width="13.85546875" style="300" bestFit="1" customWidth="1"/>
    <col min="15117" max="15117" width="2.5703125" style="300" customWidth="1"/>
    <col min="15118" max="15118" width="12.42578125" style="300" customWidth="1"/>
    <col min="15119" max="15119" width="13.5703125" style="300" customWidth="1"/>
    <col min="15120" max="15120" width="2.5703125" style="300" customWidth="1"/>
    <col min="15121" max="15121" width="12.42578125" style="300" customWidth="1"/>
    <col min="15122" max="15122" width="13.5703125" style="300" customWidth="1"/>
    <col min="15123" max="15123" width="2.5703125" style="300" customWidth="1"/>
    <col min="15124" max="15124" width="11.5703125" style="300" customWidth="1"/>
    <col min="15125" max="15125" width="13" style="300" customWidth="1"/>
    <col min="15126" max="15126" width="1.42578125" style="300" customWidth="1"/>
    <col min="15127" max="15127" width="10.5703125" style="300" customWidth="1"/>
    <col min="15128" max="15359" width="11" style="300"/>
    <col min="15360" max="15360" width="1.5703125" style="300" customWidth="1"/>
    <col min="15361" max="15361" width="8.5703125" style="300" customWidth="1"/>
    <col min="15362" max="15362" width="28.7109375" style="300" customWidth="1"/>
    <col min="15363" max="15363" width="26.5703125" style="300" customWidth="1"/>
    <col min="15364" max="15364" width="7.7109375" style="300" customWidth="1"/>
    <col min="15365" max="15365" width="19.42578125" style="300" customWidth="1"/>
    <col min="15366" max="15366" width="44.28515625" style="300" customWidth="1"/>
    <col min="15367" max="15367" width="17" style="300" customWidth="1"/>
    <col min="15368" max="15368" width="15.5703125" style="300" customWidth="1"/>
    <col min="15369" max="15369" width="14.140625" style="300" customWidth="1"/>
    <col min="15370" max="15370" width="1.7109375" style="300" customWidth="1"/>
    <col min="15371" max="15371" width="13.7109375" style="300" customWidth="1"/>
    <col min="15372" max="15372" width="13.85546875" style="300" bestFit="1" customWidth="1"/>
    <col min="15373" max="15373" width="2.5703125" style="300" customWidth="1"/>
    <col min="15374" max="15374" width="12.42578125" style="300" customWidth="1"/>
    <col min="15375" max="15375" width="13.5703125" style="300" customWidth="1"/>
    <col min="15376" max="15376" width="2.5703125" style="300" customWidth="1"/>
    <col min="15377" max="15377" width="12.42578125" style="300" customWidth="1"/>
    <col min="15378" max="15378" width="13.5703125" style="300" customWidth="1"/>
    <col min="15379" max="15379" width="2.5703125" style="300" customWidth="1"/>
    <col min="15380" max="15380" width="11.5703125" style="300" customWidth="1"/>
    <col min="15381" max="15381" width="13" style="300" customWidth="1"/>
    <col min="15382" max="15382" width="1.42578125" style="300" customWidth="1"/>
    <col min="15383" max="15383" width="10.5703125" style="300" customWidth="1"/>
    <col min="15384" max="15615" width="11" style="300"/>
    <col min="15616" max="15616" width="1.5703125" style="300" customWidth="1"/>
    <col min="15617" max="15617" width="8.5703125" style="300" customWidth="1"/>
    <col min="15618" max="15618" width="28.7109375" style="300" customWidth="1"/>
    <col min="15619" max="15619" width="26.5703125" style="300" customWidth="1"/>
    <col min="15620" max="15620" width="7.7109375" style="300" customWidth="1"/>
    <col min="15621" max="15621" width="19.42578125" style="300" customWidth="1"/>
    <col min="15622" max="15622" width="44.28515625" style="300" customWidth="1"/>
    <col min="15623" max="15623" width="17" style="300" customWidth="1"/>
    <col min="15624" max="15624" width="15.5703125" style="300" customWidth="1"/>
    <col min="15625" max="15625" width="14.140625" style="300" customWidth="1"/>
    <col min="15626" max="15626" width="1.7109375" style="300" customWidth="1"/>
    <col min="15627" max="15627" width="13.7109375" style="300" customWidth="1"/>
    <col min="15628" max="15628" width="13.85546875" style="300" bestFit="1" customWidth="1"/>
    <col min="15629" max="15629" width="2.5703125" style="300" customWidth="1"/>
    <col min="15630" max="15630" width="12.42578125" style="300" customWidth="1"/>
    <col min="15631" max="15631" width="13.5703125" style="300" customWidth="1"/>
    <col min="15632" max="15632" width="2.5703125" style="300" customWidth="1"/>
    <col min="15633" max="15633" width="12.42578125" style="300" customWidth="1"/>
    <col min="15634" max="15634" width="13.5703125" style="300" customWidth="1"/>
    <col min="15635" max="15635" width="2.5703125" style="300" customWidth="1"/>
    <col min="15636" max="15636" width="11.5703125" style="300" customWidth="1"/>
    <col min="15637" max="15637" width="13" style="300" customWidth="1"/>
    <col min="15638" max="15638" width="1.42578125" style="300" customWidth="1"/>
    <col min="15639" max="15639" width="10.5703125" style="300" customWidth="1"/>
    <col min="15640" max="15871" width="11" style="300"/>
    <col min="15872" max="15872" width="1.5703125" style="300" customWidth="1"/>
    <col min="15873" max="15873" width="8.5703125" style="300" customWidth="1"/>
    <col min="15874" max="15874" width="28.7109375" style="300" customWidth="1"/>
    <col min="15875" max="15875" width="26.5703125" style="300" customWidth="1"/>
    <col min="15876" max="15876" width="7.7109375" style="300" customWidth="1"/>
    <col min="15877" max="15877" width="19.42578125" style="300" customWidth="1"/>
    <col min="15878" max="15878" width="44.28515625" style="300" customWidth="1"/>
    <col min="15879" max="15879" width="17" style="300" customWidth="1"/>
    <col min="15880" max="15880" width="15.5703125" style="300" customWidth="1"/>
    <col min="15881" max="15881" width="14.140625" style="300" customWidth="1"/>
    <col min="15882" max="15882" width="1.7109375" style="300" customWidth="1"/>
    <col min="15883" max="15883" width="13.7109375" style="300" customWidth="1"/>
    <col min="15884" max="15884" width="13.85546875" style="300" bestFit="1" customWidth="1"/>
    <col min="15885" max="15885" width="2.5703125" style="300" customWidth="1"/>
    <col min="15886" max="15886" width="12.42578125" style="300" customWidth="1"/>
    <col min="15887" max="15887" width="13.5703125" style="300" customWidth="1"/>
    <col min="15888" max="15888" width="2.5703125" style="300" customWidth="1"/>
    <col min="15889" max="15889" width="12.42578125" style="300" customWidth="1"/>
    <col min="15890" max="15890" width="13.5703125" style="300" customWidth="1"/>
    <col min="15891" max="15891" width="2.5703125" style="300" customWidth="1"/>
    <col min="15892" max="15892" width="11.5703125" style="300" customWidth="1"/>
    <col min="15893" max="15893" width="13" style="300" customWidth="1"/>
    <col min="15894" max="15894" width="1.42578125" style="300" customWidth="1"/>
    <col min="15895" max="15895" width="10.5703125" style="300" customWidth="1"/>
    <col min="15896" max="16127" width="11" style="300"/>
    <col min="16128" max="16128" width="1.5703125" style="300" customWidth="1"/>
    <col min="16129" max="16129" width="8.5703125" style="300" customWidth="1"/>
    <col min="16130" max="16130" width="28.7109375" style="300" customWidth="1"/>
    <col min="16131" max="16131" width="26.5703125" style="300" customWidth="1"/>
    <col min="16132" max="16132" width="7.7109375" style="300" customWidth="1"/>
    <col min="16133" max="16133" width="19.42578125" style="300" customWidth="1"/>
    <col min="16134" max="16134" width="44.28515625" style="300" customWidth="1"/>
    <col min="16135" max="16135" width="17" style="300" customWidth="1"/>
    <col min="16136" max="16136" width="15.5703125" style="300" customWidth="1"/>
    <col min="16137" max="16137" width="14.140625" style="300" customWidth="1"/>
    <col min="16138" max="16138" width="1.7109375" style="300" customWidth="1"/>
    <col min="16139" max="16139" width="13.7109375" style="300" customWidth="1"/>
    <col min="16140" max="16140" width="13.85546875" style="300" bestFit="1" customWidth="1"/>
    <col min="16141" max="16141" width="2.5703125" style="300" customWidth="1"/>
    <col min="16142" max="16142" width="12.42578125" style="300" customWidth="1"/>
    <col min="16143" max="16143" width="13.5703125" style="300" customWidth="1"/>
    <col min="16144" max="16144" width="2.5703125" style="300" customWidth="1"/>
    <col min="16145" max="16145" width="12.42578125" style="300" customWidth="1"/>
    <col min="16146" max="16146" width="13.5703125" style="300" customWidth="1"/>
    <col min="16147" max="16147" width="2.5703125" style="300" customWidth="1"/>
    <col min="16148" max="16148" width="11.5703125" style="300" customWidth="1"/>
    <col min="16149" max="16149" width="13" style="300" customWidth="1"/>
    <col min="16150" max="16150" width="1.42578125" style="300" customWidth="1"/>
    <col min="16151" max="16151" width="10.5703125" style="300" customWidth="1"/>
    <col min="16152" max="16384" width="11" style="300"/>
  </cols>
  <sheetData>
    <row r="1" spans="2:79" s="476" customFormat="1" ht="19.5" customHeight="1" x14ac:dyDescent="0.2">
      <c r="B1" s="705"/>
      <c r="C1" s="706"/>
      <c r="D1" s="874" t="s">
        <v>966</v>
      </c>
      <c r="E1" s="875"/>
      <c r="F1" s="875" t="s">
        <v>967</v>
      </c>
      <c r="G1" s="875"/>
      <c r="H1" s="875"/>
      <c r="I1" s="875"/>
      <c r="J1" s="875"/>
      <c r="K1" s="875"/>
      <c r="L1" s="875"/>
      <c r="M1" s="875"/>
      <c r="N1" s="875"/>
      <c r="O1" s="875"/>
      <c r="P1" s="876"/>
      <c r="Q1" s="877"/>
      <c r="R1" s="875"/>
      <c r="S1" s="875"/>
      <c r="T1" s="875"/>
      <c r="U1" s="875"/>
      <c r="V1" s="875"/>
      <c r="W1" s="878"/>
    </row>
    <row r="2" spans="2:79" s="476" customFormat="1" ht="23.25" customHeight="1" x14ac:dyDescent="0.2">
      <c r="B2" s="707"/>
      <c r="C2" s="708"/>
      <c r="D2" s="885" t="s">
        <v>968</v>
      </c>
      <c r="E2" s="880"/>
      <c r="F2" s="880" t="s">
        <v>800</v>
      </c>
      <c r="G2" s="880"/>
      <c r="H2" s="880"/>
      <c r="I2" s="880"/>
      <c r="J2" s="880"/>
      <c r="K2" s="880"/>
      <c r="L2" s="880"/>
      <c r="M2" s="880"/>
      <c r="N2" s="880"/>
      <c r="O2" s="880"/>
      <c r="P2" s="886"/>
      <c r="Q2" s="879"/>
      <c r="R2" s="880"/>
      <c r="S2" s="880"/>
      <c r="T2" s="880"/>
      <c r="U2" s="880"/>
      <c r="V2" s="880"/>
      <c r="W2" s="881"/>
    </row>
    <row r="3" spans="2:79" s="476" customFormat="1" ht="19.5" customHeight="1" thickBot="1" x14ac:dyDescent="0.25">
      <c r="B3" s="709"/>
      <c r="C3" s="710"/>
      <c r="D3" s="887" t="s">
        <v>857</v>
      </c>
      <c r="E3" s="883"/>
      <c r="F3" s="477" t="s">
        <v>972</v>
      </c>
      <c r="G3" s="888" t="s">
        <v>973</v>
      </c>
      <c r="H3" s="888"/>
      <c r="I3" s="888"/>
      <c r="J3" s="888"/>
      <c r="K3" s="888"/>
      <c r="L3" s="888"/>
      <c r="M3" s="888"/>
      <c r="N3" s="889" t="s">
        <v>971</v>
      </c>
      <c r="O3" s="887"/>
      <c r="P3" s="478">
        <v>1</v>
      </c>
      <c r="Q3" s="882"/>
      <c r="R3" s="883"/>
      <c r="S3" s="883"/>
      <c r="T3" s="883"/>
      <c r="U3" s="883"/>
      <c r="V3" s="883"/>
      <c r="W3" s="884"/>
    </row>
    <row r="4" spans="2:79" ht="18.75" thickBot="1" x14ac:dyDescent="0.25">
      <c r="B4" s="473"/>
      <c r="C4" s="473"/>
      <c r="D4" s="473"/>
      <c r="E4" s="473"/>
      <c r="F4" s="473"/>
      <c r="G4" s="473"/>
      <c r="H4" s="473"/>
      <c r="I4" s="473"/>
      <c r="J4" s="473"/>
      <c r="K4" s="473"/>
      <c r="L4" s="473"/>
      <c r="M4" s="473"/>
      <c r="N4" s="473"/>
      <c r="O4" s="473"/>
      <c r="P4" s="473"/>
      <c r="Q4" s="473"/>
      <c r="R4" s="473"/>
      <c r="S4" s="473"/>
      <c r="T4" s="473"/>
      <c r="U4" s="473"/>
      <c r="V4" s="473"/>
      <c r="W4" s="473"/>
    </row>
    <row r="5" spans="2:79" ht="18.75" customHeight="1" thickBot="1" x14ac:dyDescent="0.25">
      <c r="B5" s="819" t="s">
        <v>938</v>
      </c>
      <c r="C5" s="820"/>
      <c r="D5" s="819" t="s">
        <v>939</v>
      </c>
      <c r="E5" s="820"/>
      <c r="W5" s="303"/>
    </row>
    <row r="6" spans="2:79" ht="18.75" customHeight="1" x14ac:dyDescent="0.2">
      <c r="B6" s="458" t="s">
        <v>740</v>
      </c>
      <c r="C6" s="304" t="s">
        <v>741</v>
      </c>
      <c r="D6" s="458" t="s">
        <v>740</v>
      </c>
      <c r="E6" s="304" t="s">
        <v>741</v>
      </c>
      <c r="W6" s="303"/>
    </row>
    <row r="7" spans="2:79" ht="18.75" customHeight="1" x14ac:dyDescent="0.2">
      <c r="B7" s="459" t="s">
        <v>778</v>
      </c>
      <c r="C7" s="305" t="s">
        <v>780</v>
      </c>
      <c r="D7" s="459" t="s">
        <v>932</v>
      </c>
      <c r="E7" s="305" t="s">
        <v>780</v>
      </c>
      <c r="F7" s="306"/>
      <c r="G7" s="307"/>
      <c r="I7" s="308"/>
      <c r="W7" s="303"/>
    </row>
    <row r="8" spans="2:79" ht="25.5" x14ac:dyDescent="0.2">
      <c r="B8" s="460" t="s">
        <v>779</v>
      </c>
      <c r="C8" s="305" t="s">
        <v>745</v>
      </c>
      <c r="D8" s="460" t="s">
        <v>933</v>
      </c>
      <c r="E8" s="305" t="s">
        <v>745</v>
      </c>
      <c r="G8" s="307"/>
      <c r="H8" s="309"/>
      <c r="I8" s="308"/>
      <c r="W8" s="310"/>
    </row>
    <row r="9" spans="2:79" ht="25.5" x14ac:dyDescent="0.2">
      <c r="B9" s="461" t="s">
        <v>776</v>
      </c>
      <c r="C9" s="305" t="s">
        <v>747</v>
      </c>
      <c r="D9" s="461" t="s">
        <v>934</v>
      </c>
      <c r="E9" s="305" t="s">
        <v>747</v>
      </c>
      <c r="G9" s="307"/>
      <c r="H9" s="307"/>
      <c r="I9" s="308"/>
      <c r="W9" s="311"/>
    </row>
    <row r="10" spans="2:79" ht="15" x14ac:dyDescent="0.2">
      <c r="B10" s="462" t="s">
        <v>777</v>
      </c>
      <c r="C10" s="305" t="s">
        <v>748</v>
      </c>
      <c r="D10" s="462" t="s">
        <v>935</v>
      </c>
      <c r="E10" s="305" t="s">
        <v>748</v>
      </c>
      <c r="G10" s="307"/>
      <c r="I10" s="308"/>
      <c r="W10" s="311"/>
    </row>
    <row r="11" spans="2:79" ht="15.75" thickBot="1" x14ac:dyDescent="0.25">
      <c r="B11" s="463" t="s">
        <v>749</v>
      </c>
      <c r="C11" s="312" t="s">
        <v>750</v>
      </c>
      <c r="D11" s="464" t="s">
        <v>964</v>
      </c>
      <c r="E11" s="312" t="s">
        <v>750</v>
      </c>
      <c r="W11" s="311"/>
    </row>
    <row r="12" spans="2:79" ht="15.75" thickBot="1" x14ac:dyDescent="0.25">
      <c r="D12" s="313"/>
      <c r="E12" s="313"/>
      <c r="F12" s="313"/>
      <c r="W12" s="311"/>
    </row>
    <row r="13" spans="2:79" ht="21" customHeight="1" thickBot="1" x14ac:dyDescent="0.25">
      <c r="G13" s="314"/>
      <c r="H13" s="821" t="s">
        <v>781</v>
      </c>
      <c r="I13" s="822"/>
      <c r="J13" s="822"/>
      <c r="K13" s="823"/>
      <c r="L13" s="823"/>
      <c r="M13" s="823"/>
      <c r="N13" s="823"/>
      <c r="O13" s="823"/>
      <c r="P13" s="823"/>
      <c r="Q13" s="823"/>
      <c r="R13" s="823"/>
      <c r="S13" s="823"/>
      <c r="T13" s="823"/>
      <c r="U13" s="823"/>
      <c r="V13" s="823"/>
      <c r="W13" s="824"/>
      <c r="Y13" s="825" t="s">
        <v>781</v>
      </c>
      <c r="Z13" s="826"/>
      <c r="AA13" s="826"/>
      <c r="AB13" s="826"/>
      <c r="AC13" s="826"/>
      <c r="AD13" s="826"/>
      <c r="AE13" s="826"/>
      <c r="AF13" s="826"/>
      <c r="AG13" s="826"/>
      <c r="AH13" s="826"/>
      <c r="AI13" s="826"/>
      <c r="AJ13" s="826"/>
      <c r="AK13" s="827"/>
      <c r="AM13" s="825" t="s">
        <v>782</v>
      </c>
      <c r="AN13" s="826"/>
      <c r="AO13" s="826"/>
      <c r="AP13" s="826"/>
      <c r="AQ13" s="826"/>
      <c r="AR13" s="826"/>
      <c r="AS13" s="826"/>
      <c r="AT13" s="826"/>
      <c r="AU13" s="826"/>
      <c r="AV13" s="826"/>
      <c r="AW13" s="826"/>
      <c r="AX13" s="826"/>
      <c r="AY13" s="827"/>
      <c r="BA13" s="825" t="s">
        <v>783</v>
      </c>
      <c r="BB13" s="826"/>
      <c r="BC13" s="826"/>
      <c r="BD13" s="826"/>
      <c r="BE13" s="826"/>
      <c r="BF13" s="826"/>
      <c r="BG13" s="826"/>
      <c r="BH13" s="826"/>
      <c r="BI13" s="826"/>
      <c r="BJ13" s="826"/>
      <c r="BK13" s="826"/>
      <c r="BL13" s="826"/>
      <c r="BM13" s="827"/>
      <c r="BO13" s="825" t="s">
        <v>784</v>
      </c>
      <c r="BP13" s="826"/>
      <c r="BQ13" s="826"/>
      <c r="BR13" s="826"/>
      <c r="BS13" s="826"/>
      <c r="BT13" s="826"/>
      <c r="BU13" s="826"/>
      <c r="BV13" s="826"/>
      <c r="BW13" s="826"/>
      <c r="BX13" s="826"/>
      <c r="BY13" s="826"/>
      <c r="BZ13" s="826"/>
      <c r="CA13" s="827"/>
    </row>
    <row r="14" spans="2:79" s="323" customFormat="1" ht="59.25" customHeight="1" thickBot="1" x14ac:dyDescent="0.3">
      <c r="B14" s="315" t="s">
        <v>785</v>
      </c>
      <c r="C14" s="315" t="s">
        <v>795</v>
      </c>
      <c r="D14" s="315" t="s">
        <v>797</v>
      </c>
      <c r="E14" s="315" t="s">
        <v>796</v>
      </c>
      <c r="F14" s="316" t="s">
        <v>0</v>
      </c>
      <c r="G14" s="317"/>
      <c r="H14" s="318" t="s">
        <v>802</v>
      </c>
      <c r="I14" s="319" t="s">
        <v>936</v>
      </c>
      <c r="J14" s="320" t="s">
        <v>801</v>
      </c>
      <c r="K14" s="321"/>
      <c r="L14" s="318" t="s">
        <v>803</v>
      </c>
      <c r="M14" s="319" t="s">
        <v>936</v>
      </c>
      <c r="N14" s="320" t="s">
        <v>801</v>
      </c>
      <c r="O14" s="321"/>
      <c r="P14" s="318" t="s">
        <v>804</v>
      </c>
      <c r="Q14" s="319" t="s">
        <v>936</v>
      </c>
      <c r="R14" s="320" t="s">
        <v>801</v>
      </c>
      <c r="S14" s="321"/>
      <c r="T14" s="318" t="s">
        <v>805</v>
      </c>
      <c r="U14" s="319" t="s">
        <v>936</v>
      </c>
      <c r="V14" s="320" t="s">
        <v>801</v>
      </c>
      <c r="W14" s="322" t="s">
        <v>806</v>
      </c>
      <c r="Y14" s="324" t="s">
        <v>786</v>
      </c>
      <c r="Z14" s="324" t="s">
        <v>937</v>
      </c>
      <c r="AA14" s="321"/>
      <c r="AB14" s="324" t="s">
        <v>787</v>
      </c>
      <c r="AC14" s="324" t="s">
        <v>937</v>
      </c>
      <c r="AD14" s="321"/>
      <c r="AE14" s="324" t="s">
        <v>790</v>
      </c>
      <c r="AF14" s="324" t="s">
        <v>937</v>
      </c>
      <c r="AG14" s="321"/>
      <c r="AH14" s="324" t="s">
        <v>788</v>
      </c>
      <c r="AI14" s="324" t="s">
        <v>937</v>
      </c>
      <c r="AJ14" s="321"/>
      <c r="AK14" s="324" t="s">
        <v>789</v>
      </c>
      <c r="AM14" s="324" t="s">
        <v>786</v>
      </c>
      <c r="AN14" s="324" t="s">
        <v>937</v>
      </c>
      <c r="AO14" s="321"/>
      <c r="AP14" s="324" t="s">
        <v>787</v>
      </c>
      <c r="AQ14" s="324" t="s">
        <v>937</v>
      </c>
      <c r="AR14" s="321"/>
      <c r="AS14" s="324" t="s">
        <v>790</v>
      </c>
      <c r="AT14" s="324" t="s">
        <v>937</v>
      </c>
      <c r="AU14" s="321"/>
      <c r="AV14" s="324" t="s">
        <v>788</v>
      </c>
      <c r="AW14" s="324" t="s">
        <v>937</v>
      </c>
      <c r="AX14" s="321"/>
      <c r="AY14" s="324" t="s">
        <v>789</v>
      </c>
      <c r="BA14" s="324" t="s">
        <v>786</v>
      </c>
      <c r="BB14" s="324" t="s">
        <v>937</v>
      </c>
      <c r="BC14" s="321"/>
      <c r="BD14" s="324" t="s">
        <v>787</v>
      </c>
      <c r="BE14" s="324" t="s">
        <v>937</v>
      </c>
      <c r="BF14" s="321"/>
      <c r="BG14" s="324" t="s">
        <v>790</v>
      </c>
      <c r="BH14" s="324" t="s">
        <v>937</v>
      </c>
      <c r="BI14" s="321"/>
      <c r="BJ14" s="324" t="s">
        <v>788</v>
      </c>
      <c r="BK14" s="324" t="s">
        <v>937</v>
      </c>
      <c r="BL14" s="321"/>
      <c r="BM14" s="324" t="s">
        <v>789</v>
      </c>
      <c r="BO14" s="324" t="s">
        <v>786</v>
      </c>
      <c r="BP14" s="324" t="s">
        <v>937</v>
      </c>
      <c r="BQ14" s="321"/>
      <c r="BR14" s="324" t="s">
        <v>787</v>
      </c>
      <c r="BS14" s="324" t="s">
        <v>937</v>
      </c>
      <c r="BT14" s="321"/>
      <c r="BU14" s="324" t="s">
        <v>790</v>
      </c>
      <c r="BV14" s="324" t="s">
        <v>937</v>
      </c>
      <c r="BW14" s="321"/>
      <c r="BX14" s="324" t="s">
        <v>788</v>
      </c>
      <c r="BY14" s="324" t="s">
        <v>937</v>
      </c>
      <c r="BZ14" s="321"/>
      <c r="CA14" s="324" t="s">
        <v>789</v>
      </c>
    </row>
    <row r="15" spans="2:79" ht="43.5" thickBot="1" x14ac:dyDescent="0.25">
      <c r="B15" s="868" t="s">
        <v>791</v>
      </c>
      <c r="C15" s="811" t="s">
        <v>256</v>
      </c>
      <c r="D15" s="834" t="str">
        <f>+'Plan de Accion 2018'!F92</f>
        <v>Seguimiento Ejecución Presupuestal de recursos administrados UGG</v>
      </c>
      <c r="E15" s="817" t="str">
        <f>+'Plan de Accion 2018'!B92</f>
        <v>Dirección Administrativa y Financiera</v>
      </c>
      <c r="F15" s="325" t="str">
        <f>+'Plan de Accion 2018'!R92</f>
        <v>Ejecución del Trimestre / Presupuesto Proyectado del Trimestre</v>
      </c>
      <c r="G15" s="326"/>
      <c r="H15" s="327">
        <f>+'Plan de Accion 2018'!AA92</f>
        <v>0.14934145290961495</v>
      </c>
      <c r="I15" s="328">
        <f>+'Plan de Accion 2018'!BM92</f>
        <v>0.59736581163845981</v>
      </c>
      <c r="J15" s="330">
        <f>+'Plan de Accion 2018'!AF92</f>
        <v>0.14934145290961495</v>
      </c>
      <c r="K15" s="329"/>
      <c r="L15" s="327">
        <f>+'Plan de Accion 2018'!AK92</f>
        <v>0</v>
      </c>
      <c r="M15" s="328">
        <f>+'Plan de Accion 2018'!BO92</f>
        <v>0</v>
      </c>
      <c r="N15" s="330">
        <f>+'Plan de Accion 2018'!AP92</f>
        <v>0.14934145290961495</v>
      </c>
      <c r="O15" s="329"/>
      <c r="P15" s="327">
        <f>+'Plan de Accion 2018'!AU92</f>
        <v>0</v>
      </c>
      <c r="Q15" s="328">
        <f>+'Plan de Accion 2018'!BQ92</f>
        <v>0</v>
      </c>
      <c r="R15" s="330">
        <f>+'Plan de Accion 2018'!AZ92</f>
        <v>0.14934145290961495</v>
      </c>
      <c r="S15" s="329"/>
      <c r="T15" s="327">
        <f>+'Plan de Accion 2018'!BE92</f>
        <v>0</v>
      </c>
      <c r="U15" s="328">
        <f>+'Plan de Accion 2018'!BS92</f>
        <v>0</v>
      </c>
      <c r="V15" s="330">
        <f>+'Plan de Accion 2018'!BJ92</f>
        <v>0.14934145290961495</v>
      </c>
      <c r="W15" s="331"/>
      <c r="Y15" s="332" t="e">
        <f>+(#REF!+#REF!+#REF!)/(#REF!+#REF!+#REF!)-1</f>
        <v>#REF!</v>
      </c>
      <c r="Z15" s="333" t="e">
        <f>+Y15/#REF!</f>
        <v>#REF!</v>
      </c>
      <c r="AA15" s="326"/>
      <c r="AB15" s="332" t="e">
        <f>+(#REF!+#REF!+#REF!)/(#REF!+#REF!+#REF!)-1</f>
        <v>#REF!</v>
      </c>
      <c r="AC15" s="333" t="e">
        <f>+AB15/#REF!</f>
        <v>#REF!</v>
      </c>
      <c r="AD15" s="326"/>
      <c r="AE15" s="332" t="e">
        <f>+(#REF!+#REF!+#REF!)/(#REF!+#REF!+#REF!)-1</f>
        <v>#REF!</v>
      </c>
      <c r="AF15" s="333" t="e">
        <f>+AE15/#REF!</f>
        <v>#REF!</v>
      </c>
      <c r="AG15" s="326"/>
      <c r="AH15" s="332" t="e">
        <f>+(#REF!+#REF!+#REF!)/(#REF!+#REF!+#REF!)-1</f>
        <v>#REF!</v>
      </c>
      <c r="AI15" s="333" t="e">
        <f>+AH15/#REF!</f>
        <v>#REF!</v>
      </c>
      <c r="AJ15" s="334"/>
      <c r="AK15" s="335"/>
      <c r="AM15" s="332" t="e">
        <f>+(#REF!+#REF!+#REF!)/(#REF!+#REF!+#REF!)-1</f>
        <v>#REF!</v>
      </c>
      <c r="AN15" s="333" t="e">
        <f>+AM15/#REF!</f>
        <v>#REF!</v>
      </c>
      <c r="AO15" s="326"/>
      <c r="AP15" s="332" t="e">
        <f>+(#REF!+#REF!+#REF!)/(#REF!+#REF!+#REF!)-1</f>
        <v>#REF!</v>
      </c>
      <c r="AQ15" s="333" t="e">
        <f>+AP15/#REF!</f>
        <v>#REF!</v>
      </c>
      <c r="AR15" s="326"/>
      <c r="AS15" s="332" t="e">
        <f>+(#REF!+#REF!+#REF!)/(#REF!+#REF!+#REF!)-1</f>
        <v>#REF!</v>
      </c>
      <c r="AT15" s="333" t="e">
        <f>+AS15/#REF!</f>
        <v>#REF!</v>
      </c>
      <c r="AU15" s="326"/>
      <c r="AV15" s="332" t="e">
        <f>+(#REF!+#REF!+#REF!)/(#REF!+#REF!+#REF!)-1</f>
        <v>#REF!</v>
      </c>
      <c r="AW15" s="333" t="e">
        <f>+AV15/#REF!</f>
        <v>#REF!</v>
      </c>
      <c r="AX15" s="334"/>
      <c r="AY15" s="335"/>
      <c r="BA15" s="332" t="e">
        <f>+(#REF!+#REF!+#REF!)/(#REF!+#REF!+#REF!)-1</f>
        <v>#REF!</v>
      </c>
      <c r="BB15" s="333" t="e">
        <f>+BA15/#REF!</f>
        <v>#REF!</v>
      </c>
      <c r="BC15" s="326"/>
      <c r="BD15" s="332" t="e">
        <f>+(#REF!+#REF!+#REF!)/(#REF!+#REF!+#REF!)-1</f>
        <v>#REF!</v>
      </c>
      <c r="BE15" s="333" t="e">
        <f>+BD15/#REF!</f>
        <v>#REF!</v>
      </c>
      <c r="BF15" s="326"/>
      <c r="BG15" s="332" t="e">
        <f>+(#REF!+#REF!+#REF!)/(#REF!+#REF!+#REF!)-1</f>
        <v>#REF!</v>
      </c>
      <c r="BH15" s="333" t="e">
        <f>+BG15/#REF!</f>
        <v>#REF!</v>
      </c>
      <c r="BI15" s="326"/>
      <c r="BJ15" s="332" t="e">
        <f>+(#REF!+#REF!+#REF!)/(#REF!+#REF!+#REF!)-1</f>
        <v>#REF!</v>
      </c>
      <c r="BK15" s="333" t="e">
        <f>+BJ15/#REF!</f>
        <v>#REF!</v>
      </c>
      <c r="BL15" s="334"/>
      <c r="BM15" s="335"/>
      <c r="BO15" s="332" t="e">
        <f>+(#REF!+#REF!+#REF!)/(#REF!+#REF!+#REF!)-1</f>
        <v>#REF!</v>
      </c>
      <c r="BP15" s="333" t="e">
        <f>+BO15/#REF!</f>
        <v>#REF!</v>
      </c>
      <c r="BQ15" s="326"/>
      <c r="BR15" s="332" t="e">
        <f>+(#REF!+#REF!+#REF!)/(#REF!+#REF!+#REF!)-1</f>
        <v>#REF!</v>
      </c>
      <c r="BS15" s="333" t="e">
        <f>+BR15/#REF!</f>
        <v>#REF!</v>
      </c>
      <c r="BT15" s="326"/>
      <c r="BU15" s="332" t="e">
        <f>+(#REF!+#REF!+#REF!)/(#REF!+#REF!+#REF!)-1</f>
        <v>#REF!</v>
      </c>
      <c r="BV15" s="333" t="e">
        <f>+BU15/#REF!</f>
        <v>#REF!</v>
      </c>
      <c r="BW15" s="326"/>
      <c r="BX15" s="332" t="e">
        <f>+(#REF!+#REF!+#REF!)/(#REF!+#REF!+#REF!)-1</f>
        <v>#REF!</v>
      </c>
      <c r="BY15" s="333" t="e">
        <f>+BX15/#REF!</f>
        <v>#REF!</v>
      </c>
      <c r="BZ15" s="334"/>
      <c r="CA15" s="335"/>
    </row>
    <row r="16" spans="2:79" ht="15" x14ac:dyDescent="0.2">
      <c r="B16" s="869"/>
      <c r="C16" s="812"/>
      <c r="D16" s="835"/>
      <c r="E16" s="818"/>
      <c r="F16" s="806" t="str">
        <f>+'Plan de Accion 2018'!R93</f>
        <v>Valor pagado / Valor programado</v>
      </c>
      <c r="G16" s="326"/>
      <c r="H16" s="336">
        <f>+'Plan de Accion 2018'!AA93</f>
        <v>0</v>
      </c>
      <c r="I16" s="337">
        <f>+'Plan de Accion 2018'!BM93</f>
        <v>0</v>
      </c>
      <c r="J16" s="330">
        <f>+'Plan de Accion 2018'!AF93</f>
        <v>0</v>
      </c>
      <c r="K16" s="329"/>
      <c r="L16" s="336">
        <f>+'Plan de Accion 2018'!AK93</f>
        <v>0</v>
      </c>
      <c r="M16" s="337">
        <f>+'Plan de Accion 2018'!BO93</f>
        <v>0</v>
      </c>
      <c r="N16" s="338">
        <f>+'Plan de Accion 2018'!AP93</f>
        <v>0</v>
      </c>
      <c r="O16" s="329"/>
      <c r="P16" s="336">
        <f>+'Plan de Accion 2018'!AU93</f>
        <v>0</v>
      </c>
      <c r="Q16" s="337">
        <f>+'Plan de Accion 2018'!BQ93</f>
        <v>0</v>
      </c>
      <c r="R16" s="338">
        <f>+'Plan de Accion 2018'!AZ93</f>
        <v>0</v>
      </c>
      <c r="S16" s="329"/>
      <c r="T16" s="336">
        <f>+'Plan de Accion 2018'!BE93</f>
        <v>0</v>
      </c>
      <c r="U16" s="337">
        <f>+'Plan de Accion 2018'!BS93</f>
        <v>0</v>
      </c>
      <c r="V16" s="338">
        <f>+'Plan de Accion 2018'!BJ93</f>
        <v>0</v>
      </c>
      <c r="W16" s="797"/>
      <c r="Y16" s="803" t="e">
        <f>+#REF!</f>
        <v>#REF!</v>
      </c>
      <c r="Z16" s="785" t="e">
        <f>+Y16/W17</f>
        <v>#REF!</v>
      </c>
      <c r="AA16" s="326"/>
      <c r="AB16" s="828" t="e">
        <f>+(#REF!+#REF!)/2</f>
        <v>#REF!</v>
      </c>
      <c r="AC16" s="785" t="e">
        <f>+AB16/W17</f>
        <v>#REF!</v>
      </c>
      <c r="AD16" s="326"/>
      <c r="AE16" s="803" t="e">
        <f>+#REF!</f>
        <v>#REF!</v>
      </c>
      <c r="AF16" s="785" t="e">
        <f>+AE16/W17</f>
        <v>#REF!</v>
      </c>
      <c r="AG16" s="326"/>
      <c r="AH16" s="803" t="e">
        <f>+(#REF!+#REF!)/2</f>
        <v>#REF!</v>
      </c>
      <c r="AI16" s="785" t="e">
        <f>+AH16/W17</f>
        <v>#REF!</v>
      </c>
      <c r="AJ16" s="334"/>
      <c r="AK16" s="794"/>
      <c r="AM16" s="803" t="e">
        <f>+#REF!</f>
        <v>#REF!</v>
      </c>
      <c r="AN16" s="785" t="e">
        <f>+AM16/AK17</f>
        <v>#REF!</v>
      </c>
      <c r="AO16" s="326"/>
      <c r="AP16" s="828" t="e">
        <f>+(#REF!+#REF!)/2</f>
        <v>#REF!</v>
      </c>
      <c r="AQ16" s="785" t="e">
        <f>+AP16/AK17</f>
        <v>#REF!</v>
      </c>
      <c r="AR16" s="326"/>
      <c r="AS16" s="803" t="e">
        <f>+#REF!</f>
        <v>#REF!</v>
      </c>
      <c r="AT16" s="785" t="e">
        <f>+AS16/AK17</f>
        <v>#REF!</v>
      </c>
      <c r="AU16" s="326"/>
      <c r="AV16" s="803" t="e">
        <f>+(#REF!+#REF!)/2</f>
        <v>#REF!</v>
      </c>
      <c r="AW16" s="785" t="e">
        <f>+AV16/AK17</f>
        <v>#REF!</v>
      </c>
      <c r="AX16" s="334"/>
      <c r="AY16" s="794"/>
      <c r="BA16" s="803" t="e">
        <f>+#REF!</f>
        <v>#REF!</v>
      </c>
      <c r="BB16" s="785" t="e">
        <f>+BA16/AY17</f>
        <v>#REF!</v>
      </c>
      <c r="BC16" s="326"/>
      <c r="BD16" s="828" t="e">
        <f>+(#REF!+#REF!)/2</f>
        <v>#REF!</v>
      </c>
      <c r="BE16" s="785" t="e">
        <f>+BD16/AY17</f>
        <v>#REF!</v>
      </c>
      <c r="BF16" s="326"/>
      <c r="BG16" s="803" t="e">
        <f>+#REF!</f>
        <v>#REF!</v>
      </c>
      <c r="BH16" s="785" t="e">
        <f>+BG16/AY17</f>
        <v>#REF!</v>
      </c>
      <c r="BI16" s="326"/>
      <c r="BJ16" s="803" t="e">
        <f>+(#REF!+#REF!)/2</f>
        <v>#REF!</v>
      </c>
      <c r="BK16" s="785" t="e">
        <f>+BJ16/AY17</f>
        <v>#REF!</v>
      </c>
      <c r="BL16" s="334"/>
      <c r="BM16" s="794"/>
      <c r="BO16" s="803" t="e">
        <f>+#REF!</f>
        <v>#REF!</v>
      </c>
      <c r="BP16" s="785" t="e">
        <f>+BO16/BM17</f>
        <v>#REF!</v>
      </c>
      <c r="BQ16" s="326"/>
      <c r="BR16" s="828" t="e">
        <f>+(#REF!+#REF!)/2</f>
        <v>#REF!</v>
      </c>
      <c r="BS16" s="785" t="e">
        <f>+BR16/BM17</f>
        <v>#REF!</v>
      </c>
      <c r="BT16" s="326"/>
      <c r="BU16" s="803" t="e">
        <f>+#REF!</f>
        <v>#REF!</v>
      </c>
      <c r="BV16" s="785" t="e">
        <f>+BU16/BM17</f>
        <v>#REF!</v>
      </c>
      <c r="BW16" s="326"/>
      <c r="BX16" s="803" t="e">
        <f>+(#REF!+#REF!)/2</f>
        <v>#REF!</v>
      </c>
      <c r="BY16" s="785" t="e">
        <f>+BX16/BM17</f>
        <v>#REF!</v>
      </c>
      <c r="BZ16" s="334"/>
      <c r="CA16" s="794"/>
    </row>
    <row r="17" spans="2:79" ht="15" x14ac:dyDescent="0.2">
      <c r="B17" s="869"/>
      <c r="C17" s="812"/>
      <c r="D17" s="835"/>
      <c r="E17" s="818"/>
      <c r="F17" s="807"/>
      <c r="G17" s="326"/>
      <c r="H17" s="336">
        <f>+'Plan de Accion 2018'!AA94</f>
        <v>0</v>
      </c>
      <c r="I17" s="337">
        <f>+'Plan de Accion 2018'!BM94</f>
        <v>0</v>
      </c>
      <c r="J17" s="330">
        <f>+'Plan de Accion 2018'!AF94</f>
        <v>0</v>
      </c>
      <c r="K17" s="329"/>
      <c r="L17" s="336">
        <f>+'Plan de Accion 2018'!AK94</f>
        <v>0</v>
      </c>
      <c r="M17" s="337">
        <f>+'Plan de Accion 2018'!BO94</f>
        <v>0</v>
      </c>
      <c r="N17" s="338">
        <f>+'Plan de Accion 2018'!AP94</f>
        <v>0</v>
      </c>
      <c r="O17" s="329"/>
      <c r="P17" s="336">
        <f>+'Plan de Accion 2018'!AU94</f>
        <v>0</v>
      </c>
      <c r="Q17" s="337">
        <f>+'Plan de Accion 2018'!BQ94</f>
        <v>0</v>
      </c>
      <c r="R17" s="338">
        <f>+'Plan de Accion 2018'!AZ94</f>
        <v>0</v>
      </c>
      <c r="S17" s="329"/>
      <c r="T17" s="336">
        <f>+'Plan de Accion 2018'!BE94</f>
        <v>0</v>
      </c>
      <c r="U17" s="337">
        <f>+'Plan de Accion 2018'!BS94</f>
        <v>0</v>
      </c>
      <c r="V17" s="338">
        <f>+'Plan de Accion 2018'!BJ94</f>
        <v>0</v>
      </c>
      <c r="W17" s="798"/>
      <c r="Y17" s="804"/>
      <c r="Z17" s="786"/>
      <c r="AA17" s="326"/>
      <c r="AB17" s="829"/>
      <c r="AC17" s="786"/>
      <c r="AD17" s="326"/>
      <c r="AE17" s="804"/>
      <c r="AF17" s="786"/>
      <c r="AG17" s="326"/>
      <c r="AH17" s="804"/>
      <c r="AI17" s="786"/>
      <c r="AJ17" s="334"/>
      <c r="AK17" s="795"/>
      <c r="AM17" s="804"/>
      <c r="AN17" s="786"/>
      <c r="AO17" s="326"/>
      <c r="AP17" s="829"/>
      <c r="AQ17" s="786"/>
      <c r="AR17" s="326"/>
      <c r="AS17" s="804"/>
      <c r="AT17" s="786"/>
      <c r="AU17" s="326"/>
      <c r="AV17" s="804"/>
      <c r="AW17" s="786"/>
      <c r="AX17" s="334"/>
      <c r="AY17" s="795"/>
      <c r="BA17" s="804"/>
      <c r="BB17" s="786"/>
      <c r="BC17" s="326"/>
      <c r="BD17" s="829"/>
      <c r="BE17" s="786"/>
      <c r="BF17" s="326"/>
      <c r="BG17" s="804"/>
      <c r="BH17" s="786"/>
      <c r="BI17" s="326"/>
      <c r="BJ17" s="804"/>
      <c r="BK17" s="786"/>
      <c r="BL17" s="334"/>
      <c r="BM17" s="795"/>
      <c r="BO17" s="804"/>
      <c r="BP17" s="786"/>
      <c r="BQ17" s="326"/>
      <c r="BR17" s="829"/>
      <c r="BS17" s="786"/>
      <c r="BT17" s="326"/>
      <c r="BU17" s="804"/>
      <c r="BV17" s="786"/>
      <c r="BW17" s="326"/>
      <c r="BX17" s="804"/>
      <c r="BY17" s="786"/>
      <c r="BZ17" s="334"/>
      <c r="CA17" s="795"/>
    </row>
    <row r="18" spans="2:79" ht="15" x14ac:dyDescent="0.2">
      <c r="B18" s="869"/>
      <c r="C18" s="812"/>
      <c r="D18" s="773" t="str">
        <f>+'Plan de Accion 2018'!F105</f>
        <v>Expedientes de hojas de vida consolidados, organizados y actualizados</v>
      </c>
      <c r="E18" s="818"/>
      <c r="F18" s="807"/>
      <c r="G18" s="326"/>
      <c r="H18" s="336" t="e">
        <f>+'Plan de Accion 2018'!AD105</f>
        <v>#DIV/0!</v>
      </c>
      <c r="I18" s="337" t="str">
        <f>+'Plan de Accion 2018'!BM105</f>
        <v>No Prog ni Ejec</v>
      </c>
      <c r="J18" s="338" t="e">
        <f>+'Plan de Accion 2018'!AF105</f>
        <v>#DIV/0!</v>
      </c>
      <c r="K18" s="329"/>
      <c r="L18" s="336">
        <f>+'Plan de Accion 2018'!AK105</f>
        <v>0</v>
      </c>
      <c r="M18" s="337" t="str">
        <f>+'Plan de Accion 2018'!BO105</f>
        <v>No Prog ni Ejec</v>
      </c>
      <c r="N18" s="338" t="e">
        <f>+'Plan de Accion 2018'!AP105</f>
        <v>#DIV/0!</v>
      </c>
      <c r="O18" s="329"/>
      <c r="P18" s="336">
        <f>+'Plan de Accion 2018'!AU105</f>
        <v>0</v>
      </c>
      <c r="Q18" s="337" t="str">
        <f>+'Plan de Accion 2018'!BQ105</f>
        <v>No Prog ni Ejec</v>
      </c>
      <c r="R18" s="338" t="e">
        <f>+'Plan de Accion 2018'!AZ105</f>
        <v>#DIV/0!</v>
      </c>
      <c r="S18" s="329"/>
      <c r="T18" s="336">
        <f>+'Plan de Accion 2018'!BE105</f>
        <v>0</v>
      </c>
      <c r="U18" s="337" t="str">
        <f>+'Plan de Accion 2018'!BS105</f>
        <v>No Prog ni Ejec</v>
      </c>
      <c r="V18" s="338" t="e">
        <f>+'Plan de Accion 2018'!BJ105</f>
        <v>#DIV/0!</v>
      </c>
      <c r="W18" s="798"/>
      <c r="Y18" s="804"/>
      <c r="Z18" s="786"/>
      <c r="AA18" s="326"/>
      <c r="AB18" s="829"/>
      <c r="AC18" s="786"/>
      <c r="AD18" s="326"/>
      <c r="AE18" s="804"/>
      <c r="AF18" s="786"/>
      <c r="AG18" s="326"/>
      <c r="AH18" s="804"/>
      <c r="AI18" s="786"/>
      <c r="AJ18" s="334"/>
      <c r="AK18" s="795"/>
      <c r="AM18" s="804"/>
      <c r="AN18" s="786"/>
      <c r="AO18" s="326"/>
      <c r="AP18" s="829"/>
      <c r="AQ18" s="786"/>
      <c r="AR18" s="326"/>
      <c r="AS18" s="804"/>
      <c r="AT18" s="786"/>
      <c r="AU18" s="326"/>
      <c r="AV18" s="804"/>
      <c r="AW18" s="786"/>
      <c r="AX18" s="334"/>
      <c r="AY18" s="795"/>
      <c r="BA18" s="804"/>
      <c r="BB18" s="786"/>
      <c r="BC18" s="326"/>
      <c r="BD18" s="829"/>
      <c r="BE18" s="786"/>
      <c r="BF18" s="326"/>
      <c r="BG18" s="804"/>
      <c r="BH18" s="786"/>
      <c r="BI18" s="326"/>
      <c r="BJ18" s="804"/>
      <c r="BK18" s="786"/>
      <c r="BL18" s="334"/>
      <c r="BM18" s="795"/>
      <c r="BO18" s="804"/>
      <c r="BP18" s="786"/>
      <c r="BQ18" s="326"/>
      <c r="BR18" s="829"/>
      <c r="BS18" s="786"/>
      <c r="BT18" s="326"/>
      <c r="BU18" s="804"/>
      <c r="BV18" s="786"/>
      <c r="BW18" s="326"/>
      <c r="BX18" s="804"/>
      <c r="BY18" s="786"/>
      <c r="BZ18" s="334"/>
      <c r="CA18" s="795"/>
    </row>
    <row r="19" spans="2:79" ht="15" x14ac:dyDescent="0.2">
      <c r="B19" s="869"/>
      <c r="C19" s="812"/>
      <c r="D19" s="773"/>
      <c r="E19" s="818"/>
      <c r="F19" s="807"/>
      <c r="G19" s="326"/>
      <c r="H19" s="336" t="e">
        <f>+'Plan de Accion 2018'!AD106</f>
        <v>#DIV/0!</v>
      </c>
      <c r="I19" s="337" t="str">
        <f>+'Plan de Accion 2018'!BM106</f>
        <v>No Prog ni Ejec</v>
      </c>
      <c r="J19" s="338" t="e">
        <f>+'Plan de Accion 2018'!AF106</f>
        <v>#DIV/0!</v>
      </c>
      <c r="K19" s="329"/>
      <c r="L19" s="336">
        <f>+'Plan de Accion 2018'!AK106</f>
        <v>0</v>
      </c>
      <c r="M19" s="337" t="str">
        <f>+'Plan de Accion 2018'!BO106</f>
        <v>No Prog ni Ejec</v>
      </c>
      <c r="N19" s="338" t="e">
        <f>+'Plan de Accion 2018'!AP106</f>
        <v>#DIV/0!</v>
      </c>
      <c r="O19" s="329"/>
      <c r="P19" s="336">
        <f>+'Plan de Accion 2018'!AU106</f>
        <v>0</v>
      </c>
      <c r="Q19" s="337" t="str">
        <f>+'Plan de Accion 2018'!BQ106</f>
        <v>No Prog ni Ejec</v>
      </c>
      <c r="R19" s="338" t="e">
        <f>+'Plan de Accion 2018'!AZ106</f>
        <v>#DIV/0!</v>
      </c>
      <c r="S19" s="329"/>
      <c r="T19" s="336">
        <f>+'Plan de Accion 2018'!BE106</f>
        <v>0</v>
      </c>
      <c r="U19" s="337" t="str">
        <f>+'Plan de Accion 2018'!BS106</f>
        <v>No Prog ni Ejec</v>
      </c>
      <c r="V19" s="338" t="e">
        <f>+'Plan de Accion 2018'!BJ106</f>
        <v>#DIV/0!</v>
      </c>
      <c r="W19" s="798"/>
      <c r="Y19" s="804"/>
      <c r="Z19" s="786"/>
      <c r="AA19" s="326"/>
      <c r="AB19" s="829"/>
      <c r="AC19" s="786"/>
      <c r="AD19" s="326"/>
      <c r="AE19" s="804"/>
      <c r="AF19" s="786"/>
      <c r="AG19" s="326"/>
      <c r="AH19" s="804"/>
      <c r="AI19" s="786"/>
      <c r="AJ19" s="334"/>
      <c r="AK19" s="795"/>
      <c r="AM19" s="804"/>
      <c r="AN19" s="786"/>
      <c r="AO19" s="326"/>
      <c r="AP19" s="829"/>
      <c r="AQ19" s="786"/>
      <c r="AR19" s="326"/>
      <c r="AS19" s="804"/>
      <c r="AT19" s="786"/>
      <c r="AU19" s="326"/>
      <c r="AV19" s="804"/>
      <c r="AW19" s="786"/>
      <c r="AX19" s="334"/>
      <c r="AY19" s="795"/>
      <c r="BA19" s="804"/>
      <c r="BB19" s="786"/>
      <c r="BC19" s="326"/>
      <c r="BD19" s="829"/>
      <c r="BE19" s="786"/>
      <c r="BF19" s="326"/>
      <c r="BG19" s="804"/>
      <c r="BH19" s="786"/>
      <c r="BI19" s="326"/>
      <c r="BJ19" s="804"/>
      <c r="BK19" s="786"/>
      <c r="BL19" s="334"/>
      <c r="BM19" s="795"/>
      <c r="BO19" s="804"/>
      <c r="BP19" s="786"/>
      <c r="BQ19" s="326"/>
      <c r="BR19" s="829"/>
      <c r="BS19" s="786"/>
      <c r="BT19" s="326"/>
      <c r="BU19" s="804"/>
      <c r="BV19" s="786"/>
      <c r="BW19" s="326"/>
      <c r="BX19" s="804"/>
      <c r="BY19" s="786"/>
      <c r="BZ19" s="334"/>
      <c r="CA19" s="795"/>
    </row>
    <row r="20" spans="2:79" ht="15" x14ac:dyDescent="0.2">
      <c r="B20" s="869"/>
      <c r="C20" s="812"/>
      <c r="D20" s="339" t="str">
        <f>+'Plan de Accion 2018'!F145</f>
        <v>Estudio de seguridad hojas de vida</v>
      </c>
      <c r="E20" s="818"/>
      <c r="F20" s="808"/>
      <c r="G20" s="326"/>
      <c r="H20" s="336">
        <f>+'Plan de Accion 2018'!AA145</f>
        <v>7.8399999999999997E-2</v>
      </c>
      <c r="I20" s="337">
        <f>+'Plan de Accion 2018'!BM145</f>
        <v>0.31359999999999999</v>
      </c>
      <c r="J20" s="330">
        <f>+'Plan de Accion 2018'!AF145</f>
        <v>7.8399999999999997E-2</v>
      </c>
      <c r="K20" s="329"/>
      <c r="L20" s="336">
        <f>+'Plan de Accion 2018'!AK145</f>
        <v>0</v>
      </c>
      <c r="M20" s="337">
        <f>+'Plan de Accion 2018'!BO145</f>
        <v>0</v>
      </c>
      <c r="N20" s="338">
        <f>+'Plan de Accion 2018'!AP145</f>
        <v>7.8399999999999997E-2</v>
      </c>
      <c r="O20" s="329"/>
      <c r="P20" s="336">
        <f>+'Plan de Accion 2018'!AU145</f>
        <v>0</v>
      </c>
      <c r="Q20" s="337">
        <f>+'Plan de Accion 2018'!BQ145</f>
        <v>0</v>
      </c>
      <c r="R20" s="338">
        <f>+'Plan de Accion 2018'!AZ145</f>
        <v>7.8399999999999997E-2</v>
      </c>
      <c r="S20" s="329"/>
      <c r="T20" s="336">
        <f>+'Plan de Accion 2018'!BE145</f>
        <v>0</v>
      </c>
      <c r="U20" s="337">
        <f>+'Plan de Accion 2018'!BS145</f>
        <v>0</v>
      </c>
      <c r="V20" s="338">
        <f>+'Plan de Accion 2018'!BJ145</f>
        <v>7.8399999999999997E-2</v>
      </c>
      <c r="W20" s="798"/>
      <c r="Y20" s="804"/>
      <c r="Z20" s="786"/>
      <c r="AA20" s="326"/>
      <c r="AB20" s="829"/>
      <c r="AC20" s="786"/>
      <c r="AD20" s="326"/>
      <c r="AE20" s="804"/>
      <c r="AF20" s="786"/>
      <c r="AG20" s="326"/>
      <c r="AH20" s="804"/>
      <c r="AI20" s="786"/>
      <c r="AJ20" s="334"/>
      <c r="AK20" s="795"/>
      <c r="AM20" s="804"/>
      <c r="AN20" s="786"/>
      <c r="AO20" s="326"/>
      <c r="AP20" s="829"/>
      <c r="AQ20" s="786"/>
      <c r="AR20" s="326"/>
      <c r="AS20" s="804"/>
      <c r="AT20" s="786"/>
      <c r="AU20" s="326"/>
      <c r="AV20" s="804"/>
      <c r="AW20" s="786"/>
      <c r="AX20" s="334"/>
      <c r="AY20" s="795"/>
      <c r="BA20" s="804"/>
      <c r="BB20" s="786"/>
      <c r="BC20" s="326"/>
      <c r="BD20" s="829"/>
      <c r="BE20" s="786"/>
      <c r="BF20" s="326"/>
      <c r="BG20" s="804"/>
      <c r="BH20" s="786"/>
      <c r="BI20" s="326"/>
      <c r="BJ20" s="804"/>
      <c r="BK20" s="786"/>
      <c r="BL20" s="334"/>
      <c r="BM20" s="795"/>
      <c r="BO20" s="804"/>
      <c r="BP20" s="786"/>
      <c r="BQ20" s="326"/>
      <c r="BR20" s="829"/>
      <c r="BS20" s="786"/>
      <c r="BT20" s="326"/>
      <c r="BU20" s="804"/>
      <c r="BV20" s="786"/>
      <c r="BW20" s="326"/>
      <c r="BX20" s="804"/>
      <c r="BY20" s="786"/>
      <c r="BZ20" s="334"/>
      <c r="CA20" s="795"/>
    </row>
    <row r="21" spans="2:79" ht="42.75" x14ac:dyDescent="0.2">
      <c r="B21" s="869"/>
      <c r="C21" s="812"/>
      <c r="D21" s="339" t="str">
        <f>+'Plan de Accion 2018'!F103</f>
        <v>Salud Ocupacional</v>
      </c>
      <c r="E21" s="818"/>
      <c r="F21" s="340" t="str">
        <f>+'Plan de Accion 2018'!R103</f>
        <v>Ejecución del Trimestre / Presupuesto Proyectado del Trimestre</v>
      </c>
      <c r="G21" s="326"/>
      <c r="H21" s="336">
        <f>+'Plan de Accion 2018'!AA103</f>
        <v>8.2317134218377691E-2</v>
      </c>
      <c r="I21" s="337">
        <f>+'Plan de Accion 2018'!BM103</f>
        <v>0.32926853687351076</v>
      </c>
      <c r="J21" s="330">
        <f>+'Plan de Accion 2018'!AF103</f>
        <v>8.2317134218377691E-2</v>
      </c>
      <c r="K21" s="329"/>
      <c r="L21" s="336">
        <f>+'Plan de Accion 2018'!AK103</f>
        <v>0</v>
      </c>
      <c r="M21" s="337">
        <f>+'Plan de Accion 2018'!BO103</f>
        <v>0</v>
      </c>
      <c r="N21" s="338">
        <f>+'Plan de Accion 2018'!AP103</f>
        <v>8.2317134218377691E-2</v>
      </c>
      <c r="O21" s="329"/>
      <c r="P21" s="336">
        <f>+'Plan de Accion 2018'!AU103</f>
        <v>0</v>
      </c>
      <c r="Q21" s="337">
        <f>+'Plan de Accion 2018'!BQ103</f>
        <v>0</v>
      </c>
      <c r="R21" s="338">
        <f>+'Plan de Accion 2018'!AZ103</f>
        <v>8.2317134218377691E-2</v>
      </c>
      <c r="S21" s="329"/>
      <c r="T21" s="336">
        <f>+'Plan de Accion 2018'!BE103</f>
        <v>0</v>
      </c>
      <c r="U21" s="337">
        <f>+'Plan de Accion 2018'!BS103</f>
        <v>0</v>
      </c>
      <c r="V21" s="338">
        <f>+'Plan de Accion 2018'!BJ103</f>
        <v>8.2317134218377691E-2</v>
      </c>
      <c r="W21" s="798"/>
      <c r="Y21" s="804"/>
      <c r="Z21" s="786"/>
      <c r="AA21" s="326"/>
      <c r="AB21" s="829"/>
      <c r="AC21" s="786"/>
      <c r="AD21" s="326"/>
      <c r="AE21" s="804"/>
      <c r="AF21" s="786"/>
      <c r="AG21" s="326"/>
      <c r="AH21" s="804"/>
      <c r="AI21" s="786"/>
      <c r="AJ21" s="334"/>
      <c r="AK21" s="795"/>
      <c r="AM21" s="804"/>
      <c r="AN21" s="786"/>
      <c r="AO21" s="326"/>
      <c r="AP21" s="829"/>
      <c r="AQ21" s="786"/>
      <c r="AR21" s="326"/>
      <c r="AS21" s="804"/>
      <c r="AT21" s="786"/>
      <c r="AU21" s="326"/>
      <c r="AV21" s="804"/>
      <c r="AW21" s="786"/>
      <c r="AX21" s="334"/>
      <c r="AY21" s="795"/>
      <c r="BA21" s="804"/>
      <c r="BB21" s="786"/>
      <c r="BC21" s="326"/>
      <c r="BD21" s="829"/>
      <c r="BE21" s="786"/>
      <c r="BF21" s="326"/>
      <c r="BG21" s="804"/>
      <c r="BH21" s="786"/>
      <c r="BI21" s="326"/>
      <c r="BJ21" s="804"/>
      <c r="BK21" s="786"/>
      <c r="BL21" s="334"/>
      <c r="BM21" s="795"/>
      <c r="BO21" s="804"/>
      <c r="BP21" s="786"/>
      <c r="BQ21" s="326"/>
      <c r="BR21" s="829"/>
      <c r="BS21" s="786"/>
      <c r="BT21" s="326"/>
      <c r="BU21" s="804"/>
      <c r="BV21" s="786"/>
      <c r="BW21" s="326"/>
      <c r="BX21" s="804"/>
      <c r="BY21" s="786"/>
      <c r="BZ21" s="334"/>
      <c r="CA21" s="795"/>
    </row>
    <row r="22" spans="2:79" ht="28.5" x14ac:dyDescent="0.2">
      <c r="B22" s="869"/>
      <c r="C22" s="812"/>
      <c r="D22" s="339" t="str">
        <f>+'Plan de Accion 2018'!F108</f>
        <v>Funcionamiento Operativo de la ADRES</v>
      </c>
      <c r="E22" s="818"/>
      <c r="F22" s="340" t="str">
        <f>+'Plan de Accion 2018'!R108</f>
        <v>Valor pagado / Valor programado</v>
      </c>
      <c r="G22" s="326"/>
      <c r="H22" s="336">
        <f>+'Plan de Accion 2018'!AA108</f>
        <v>0.18953582796273838</v>
      </c>
      <c r="I22" s="337">
        <f>+'Plan de Accion 2018'!BM108</f>
        <v>0.9476791398136919</v>
      </c>
      <c r="J22" s="330">
        <f>+'Plan de Accion 2018'!AF108</f>
        <v>0.18953582796273838</v>
      </c>
      <c r="K22" s="329"/>
      <c r="L22" s="336">
        <f>+'Plan de Accion 2018'!AK108</f>
        <v>0</v>
      </c>
      <c r="M22" s="337">
        <f>+'Plan de Accion 2018'!BO108</f>
        <v>0</v>
      </c>
      <c r="N22" s="338">
        <f>+'Plan de Accion 2018'!AP108</f>
        <v>0.18953582796273838</v>
      </c>
      <c r="O22" s="329"/>
      <c r="P22" s="336">
        <f>+'Plan de Accion 2018'!AU108</f>
        <v>0</v>
      </c>
      <c r="Q22" s="337">
        <f>+'Plan de Accion 2018'!BQ108</f>
        <v>0</v>
      </c>
      <c r="R22" s="338">
        <f>+'Plan de Accion 2018'!AZ108</f>
        <v>0.18953582796273838</v>
      </c>
      <c r="S22" s="329"/>
      <c r="T22" s="336">
        <f>+'Plan de Accion 2018'!BE108</f>
        <v>0</v>
      </c>
      <c r="U22" s="337">
        <f>+'Plan de Accion 2018'!BS108</f>
        <v>0</v>
      </c>
      <c r="V22" s="338">
        <f>+'Plan de Accion 2018'!BJ108</f>
        <v>0.18953582796273838</v>
      </c>
      <c r="W22" s="798"/>
      <c r="Y22" s="804"/>
      <c r="Z22" s="786"/>
      <c r="AA22" s="326"/>
      <c r="AB22" s="829"/>
      <c r="AC22" s="786"/>
      <c r="AD22" s="326"/>
      <c r="AE22" s="804"/>
      <c r="AF22" s="786"/>
      <c r="AG22" s="326"/>
      <c r="AH22" s="804"/>
      <c r="AI22" s="786"/>
      <c r="AJ22" s="334"/>
      <c r="AK22" s="795"/>
      <c r="AM22" s="804"/>
      <c r="AN22" s="786"/>
      <c r="AO22" s="326"/>
      <c r="AP22" s="829"/>
      <c r="AQ22" s="786"/>
      <c r="AR22" s="326"/>
      <c r="AS22" s="804"/>
      <c r="AT22" s="786"/>
      <c r="AU22" s="326"/>
      <c r="AV22" s="804"/>
      <c r="AW22" s="786"/>
      <c r="AX22" s="334"/>
      <c r="AY22" s="795"/>
      <c r="BA22" s="804"/>
      <c r="BB22" s="786"/>
      <c r="BC22" s="326"/>
      <c r="BD22" s="829"/>
      <c r="BE22" s="786"/>
      <c r="BF22" s="326"/>
      <c r="BG22" s="804"/>
      <c r="BH22" s="786"/>
      <c r="BI22" s="326"/>
      <c r="BJ22" s="804"/>
      <c r="BK22" s="786"/>
      <c r="BL22" s="334"/>
      <c r="BM22" s="795"/>
      <c r="BO22" s="804"/>
      <c r="BP22" s="786"/>
      <c r="BQ22" s="326"/>
      <c r="BR22" s="829"/>
      <c r="BS22" s="786"/>
      <c r="BT22" s="326"/>
      <c r="BU22" s="804"/>
      <c r="BV22" s="786"/>
      <c r="BW22" s="326"/>
      <c r="BX22" s="804"/>
      <c r="BY22" s="786"/>
      <c r="BZ22" s="334"/>
      <c r="CA22" s="795"/>
    </row>
    <row r="23" spans="2:79" ht="28.5" x14ac:dyDescent="0.2">
      <c r="B23" s="869"/>
      <c r="C23" s="812"/>
      <c r="D23" s="339" t="str">
        <f>+'Plan de Accion 2018'!F109</f>
        <v xml:space="preserve">Suministro de Tiquetes Aéreos y Viatico </v>
      </c>
      <c r="E23" s="818"/>
      <c r="F23" s="340" t="str">
        <f>+'Plan de Accion 2018'!R109</f>
        <v>Valor pagado / Valor programado</v>
      </c>
      <c r="G23" s="326"/>
      <c r="H23" s="336">
        <f>+'Plan de Accion 2018'!AA109</f>
        <v>2.8526488808374856E-2</v>
      </c>
      <c r="I23" s="337">
        <f>+'Plan de Accion 2018'!BM109</f>
        <v>0.11410595523349942</v>
      </c>
      <c r="J23" s="330">
        <f>+'Plan de Accion 2018'!AF109</f>
        <v>2.8526488808374856E-2</v>
      </c>
      <c r="K23" s="329"/>
      <c r="L23" s="336">
        <f>+'Plan de Accion 2018'!AK109</f>
        <v>0</v>
      </c>
      <c r="M23" s="337">
        <f>+'Plan de Accion 2018'!BO109</f>
        <v>0</v>
      </c>
      <c r="N23" s="338">
        <f>+'Plan de Accion 2018'!AP109</f>
        <v>2.8526488808374856E-2</v>
      </c>
      <c r="O23" s="329"/>
      <c r="P23" s="336">
        <f>+'Plan de Accion 2018'!AU109</f>
        <v>0</v>
      </c>
      <c r="Q23" s="337">
        <f>+'Plan de Accion 2018'!BQ109</f>
        <v>0</v>
      </c>
      <c r="R23" s="338">
        <f>+'Plan de Accion 2018'!AZ109</f>
        <v>2.8526488808374856E-2</v>
      </c>
      <c r="S23" s="329"/>
      <c r="T23" s="336">
        <f>+'Plan de Accion 2018'!BE109</f>
        <v>0</v>
      </c>
      <c r="U23" s="337">
        <f>+'Plan de Accion 2018'!BS109</f>
        <v>0</v>
      </c>
      <c r="V23" s="338">
        <f>+'Plan de Accion 2018'!BJ109</f>
        <v>2.8526488808374856E-2</v>
      </c>
      <c r="W23" s="798"/>
      <c r="Y23" s="804"/>
      <c r="Z23" s="786"/>
      <c r="AA23" s="326"/>
      <c r="AB23" s="829"/>
      <c r="AC23" s="786"/>
      <c r="AD23" s="326"/>
      <c r="AE23" s="804"/>
      <c r="AF23" s="786"/>
      <c r="AG23" s="326"/>
      <c r="AH23" s="804"/>
      <c r="AI23" s="786"/>
      <c r="AJ23" s="334"/>
      <c r="AK23" s="795"/>
      <c r="AM23" s="804"/>
      <c r="AN23" s="786"/>
      <c r="AO23" s="326"/>
      <c r="AP23" s="829"/>
      <c r="AQ23" s="786"/>
      <c r="AR23" s="326"/>
      <c r="AS23" s="804"/>
      <c r="AT23" s="786"/>
      <c r="AU23" s="326"/>
      <c r="AV23" s="804"/>
      <c r="AW23" s="786"/>
      <c r="AX23" s="334"/>
      <c r="AY23" s="795"/>
      <c r="BA23" s="804"/>
      <c r="BB23" s="786"/>
      <c r="BC23" s="326"/>
      <c r="BD23" s="829"/>
      <c r="BE23" s="786"/>
      <c r="BF23" s="326"/>
      <c r="BG23" s="804"/>
      <c r="BH23" s="786"/>
      <c r="BI23" s="326"/>
      <c r="BJ23" s="804"/>
      <c r="BK23" s="786"/>
      <c r="BL23" s="334"/>
      <c r="BM23" s="795"/>
      <c r="BO23" s="804"/>
      <c r="BP23" s="786"/>
      <c r="BQ23" s="326"/>
      <c r="BR23" s="829"/>
      <c r="BS23" s="786"/>
      <c r="BT23" s="326"/>
      <c r="BU23" s="804"/>
      <c r="BV23" s="786"/>
      <c r="BW23" s="326"/>
      <c r="BX23" s="804"/>
      <c r="BY23" s="786"/>
      <c r="BZ23" s="334"/>
      <c r="CA23" s="795"/>
    </row>
    <row r="24" spans="2:79" ht="57" x14ac:dyDescent="0.2">
      <c r="B24" s="869"/>
      <c r="C24" s="812"/>
      <c r="D24" s="339" t="str">
        <f>+'Plan de Accion 2018'!F112</f>
        <v xml:space="preserve">Garantizar la gestión de Servicio al ciudadano de la entidad  por los diferentes canales  de atención.. </v>
      </c>
      <c r="E24" s="818"/>
      <c r="F24" s="340" t="str">
        <f>+'Plan de Accion 2018'!R112</f>
        <v># Obligaciones cumplidas en el período /# Obligaciones establecidas en el CPS 0014 de 2018</v>
      </c>
      <c r="G24" s="326"/>
      <c r="H24" s="336">
        <f>+'Plan de Accion 2018'!AD112</f>
        <v>0.74537312091503272</v>
      </c>
      <c r="I24" s="337">
        <f>+'Plan de Accion 2018'!BM112</f>
        <v>0.74537312091503272</v>
      </c>
      <c r="J24" s="330">
        <f>+'Plan de Accion 2018'!AF112</f>
        <v>0.18634328022875818</v>
      </c>
      <c r="K24" s="329"/>
      <c r="L24" s="336">
        <f>+'Plan de Accion 2018'!AK112</f>
        <v>0</v>
      </c>
      <c r="M24" s="337">
        <f>+'Plan de Accion 2018'!BO112</f>
        <v>0</v>
      </c>
      <c r="N24" s="338">
        <f>+'Plan de Accion 2018'!AP112</f>
        <v>0.18634328022875818</v>
      </c>
      <c r="O24" s="329"/>
      <c r="P24" s="336">
        <f>+'Plan de Accion 2018'!AU112</f>
        <v>0</v>
      </c>
      <c r="Q24" s="337">
        <f>+'Plan de Accion 2018'!BQ112</f>
        <v>0</v>
      </c>
      <c r="R24" s="338">
        <f>+'Plan de Accion 2018'!AZ112</f>
        <v>0.18634328022875818</v>
      </c>
      <c r="S24" s="329"/>
      <c r="T24" s="336">
        <f>+'Plan de Accion 2018'!BE112</f>
        <v>0</v>
      </c>
      <c r="U24" s="337">
        <f>+'Plan de Accion 2018'!BS112</f>
        <v>0</v>
      </c>
      <c r="V24" s="338">
        <f>+'Plan de Accion 2018'!BJ112</f>
        <v>0.18634328022875818</v>
      </c>
      <c r="W24" s="798"/>
      <c r="Y24" s="804"/>
      <c r="Z24" s="786"/>
      <c r="AA24" s="326"/>
      <c r="AB24" s="829"/>
      <c r="AC24" s="786"/>
      <c r="AD24" s="326"/>
      <c r="AE24" s="804"/>
      <c r="AF24" s="786"/>
      <c r="AG24" s="326"/>
      <c r="AH24" s="804"/>
      <c r="AI24" s="786"/>
      <c r="AJ24" s="334"/>
      <c r="AK24" s="795"/>
      <c r="AM24" s="804"/>
      <c r="AN24" s="786"/>
      <c r="AO24" s="326"/>
      <c r="AP24" s="829"/>
      <c r="AQ24" s="786"/>
      <c r="AR24" s="326"/>
      <c r="AS24" s="804"/>
      <c r="AT24" s="786"/>
      <c r="AU24" s="326"/>
      <c r="AV24" s="804"/>
      <c r="AW24" s="786"/>
      <c r="AX24" s="334"/>
      <c r="AY24" s="795"/>
      <c r="BA24" s="804"/>
      <c r="BB24" s="786"/>
      <c r="BC24" s="326"/>
      <c r="BD24" s="829"/>
      <c r="BE24" s="786"/>
      <c r="BF24" s="326"/>
      <c r="BG24" s="804"/>
      <c r="BH24" s="786"/>
      <c r="BI24" s="326"/>
      <c r="BJ24" s="804"/>
      <c r="BK24" s="786"/>
      <c r="BL24" s="334"/>
      <c r="BM24" s="795"/>
      <c r="BO24" s="804"/>
      <c r="BP24" s="786"/>
      <c r="BQ24" s="326"/>
      <c r="BR24" s="829"/>
      <c r="BS24" s="786"/>
      <c r="BT24" s="326"/>
      <c r="BU24" s="804"/>
      <c r="BV24" s="786"/>
      <c r="BW24" s="326"/>
      <c r="BX24" s="804"/>
      <c r="BY24" s="786"/>
      <c r="BZ24" s="334"/>
      <c r="CA24" s="795"/>
    </row>
    <row r="25" spans="2:79" ht="99.75" x14ac:dyDescent="0.2">
      <c r="B25" s="869"/>
      <c r="C25" s="812"/>
      <c r="D25" s="339" t="str">
        <f>+'Plan de Accion 2018'!F99</f>
        <v>Trámite los Procesos  Precontractuales y Contractuales para la adquisición de Bienes y Servicios de conformidad con lo establecido en el Plan de Adquisiciones de la Dirección Administrativa y Financiera</v>
      </c>
      <c r="E25" s="818"/>
      <c r="F25" s="809" t="s">
        <v>816</v>
      </c>
      <c r="G25" s="326"/>
      <c r="H25" s="336">
        <f>+'Plan de Accion 2018'!AD99</f>
        <v>0.60064014643951447</v>
      </c>
      <c r="I25" s="337">
        <f>+'Plan de Accion 2018'!BM99</f>
        <v>0.60064014643951447</v>
      </c>
      <c r="J25" s="330">
        <f>+'Plan de Accion 2018'!AF99</f>
        <v>0.15016003660987862</v>
      </c>
      <c r="K25" s="329"/>
      <c r="L25" s="336">
        <f>+'Plan de Accion 2018'!AN99</f>
        <v>0</v>
      </c>
      <c r="M25" s="337">
        <f>+'Plan de Accion 2018'!BO99</f>
        <v>0</v>
      </c>
      <c r="N25" s="338">
        <f>+'Plan de Accion 2018'!AP99</f>
        <v>0.15016003660987862</v>
      </c>
      <c r="O25" s="329"/>
      <c r="P25" s="336">
        <f>+'Plan de Accion 2018'!AX99</f>
        <v>0</v>
      </c>
      <c r="Q25" s="337">
        <f>+'Plan de Accion 2018'!BQ99</f>
        <v>0</v>
      </c>
      <c r="R25" s="338">
        <f>+'Plan de Accion 2018'!AZ99</f>
        <v>0.15016003660987862</v>
      </c>
      <c r="S25" s="329"/>
      <c r="T25" s="336">
        <f>+'Plan de Accion 2018'!BH99</f>
        <v>0</v>
      </c>
      <c r="U25" s="337">
        <f>+'Plan de Accion 2018'!BS99</f>
        <v>0</v>
      </c>
      <c r="V25" s="338">
        <f>+'Plan de Accion 2018'!BJ99</f>
        <v>0.15016003660987862</v>
      </c>
      <c r="W25" s="798"/>
      <c r="Y25" s="804"/>
      <c r="Z25" s="786"/>
      <c r="AA25" s="326"/>
      <c r="AB25" s="829"/>
      <c r="AC25" s="786"/>
      <c r="AD25" s="326"/>
      <c r="AE25" s="804"/>
      <c r="AF25" s="786"/>
      <c r="AG25" s="326"/>
      <c r="AH25" s="804"/>
      <c r="AI25" s="786"/>
      <c r="AJ25" s="334"/>
      <c r="AK25" s="795"/>
      <c r="AM25" s="804"/>
      <c r="AN25" s="786"/>
      <c r="AO25" s="326"/>
      <c r="AP25" s="829"/>
      <c r="AQ25" s="786"/>
      <c r="AR25" s="326"/>
      <c r="AS25" s="804"/>
      <c r="AT25" s="786"/>
      <c r="AU25" s="326"/>
      <c r="AV25" s="804"/>
      <c r="AW25" s="786"/>
      <c r="AX25" s="334"/>
      <c r="AY25" s="795"/>
      <c r="BA25" s="804"/>
      <c r="BB25" s="786"/>
      <c r="BC25" s="326"/>
      <c r="BD25" s="829"/>
      <c r="BE25" s="786"/>
      <c r="BF25" s="326"/>
      <c r="BG25" s="804"/>
      <c r="BH25" s="786"/>
      <c r="BI25" s="326"/>
      <c r="BJ25" s="804"/>
      <c r="BK25" s="786"/>
      <c r="BL25" s="334"/>
      <c r="BM25" s="795"/>
      <c r="BO25" s="804"/>
      <c r="BP25" s="786"/>
      <c r="BQ25" s="326"/>
      <c r="BR25" s="829"/>
      <c r="BS25" s="786"/>
      <c r="BT25" s="326"/>
      <c r="BU25" s="804"/>
      <c r="BV25" s="786"/>
      <c r="BW25" s="326"/>
      <c r="BX25" s="804"/>
      <c r="BY25" s="786"/>
      <c r="BZ25" s="334"/>
      <c r="CA25" s="795"/>
    </row>
    <row r="26" spans="2:79" ht="15" x14ac:dyDescent="0.2">
      <c r="B26" s="869"/>
      <c r="C26" s="812"/>
      <c r="D26" s="451" t="str">
        <f>+'Plan de Accion 2018'!F155</f>
        <v>Asesoría Jurídica</v>
      </c>
      <c r="E26" s="818"/>
      <c r="F26" s="810"/>
      <c r="G26" s="326"/>
      <c r="H26" s="336">
        <f>+'Plan de Accion 2018'!AD155</f>
        <v>1</v>
      </c>
      <c r="I26" s="337">
        <f>+'Plan de Accion 2018'!BM155</f>
        <v>1</v>
      </c>
      <c r="J26" s="330">
        <f>+'Plan de Accion 2018'!AF155</f>
        <v>0.2</v>
      </c>
      <c r="K26" s="329"/>
      <c r="L26" s="336">
        <f>+'Plan de Accion 2018'!AN155</f>
        <v>0</v>
      </c>
      <c r="M26" s="337">
        <f>+'Plan de Accion 2018'!BO155</f>
        <v>0</v>
      </c>
      <c r="N26" s="338">
        <f>+'Plan de Accion 2018'!AP155</f>
        <v>0.2</v>
      </c>
      <c r="O26" s="329"/>
      <c r="P26" s="336" t="e">
        <f>+'Plan de Accion 2018'!AX155</f>
        <v>#DIV/0!</v>
      </c>
      <c r="Q26" s="337" t="str">
        <f>+'Plan de Accion 2018'!BQ155</f>
        <v>No Prog ni Ejec</v>
      </c>
      <c r="R26" s="338">
        <f>+'Plan de Accion 2018'!AZ155</f>
        <v>0.2</v>
      </c>
      <c r="S26" s="329"/>
      <c r="T26" s="336" t="e">
        <f>+'Plan de Accion 2018'!BH155</f>
        <v>#DIV/0!</v>
      </c>
      <c r="U26" s="337" t="str">
        <f>+'Plan de Accion 2018'!BS155</f>
        <v>No Prog ni Ejec</v>
      </c>
      <c r="V26" s="338">
        <f>+'Plan de Accion 2018'!BJ155</f>
        <v>0.2</v>
      </c>
      <c r="W26" s="798"/>
      <c r="Y26" s="804"/>
      <c r="Z26" s="786"/>
      <c r="AA26" s="326"/>
      <c r="AB26" s="829"/>
      <c r="AC26" s="786"/>
      <c r="AD26" s="326"/>
      <c r="AE26" s="804"/>
      <c r="AF26" s="786"/>
      <c r="AG26" s="326"/>
      <c r="AH26" s="804"/>
      <c r="AI26" s="786"/>
      <c r="AJ26" s="334"/>
      <c r="AK26" s="795"/>
      <c r="AM26" s="804"/>
      <c r="AN26" s="786"/>
      <c r="AO26" s="326"/>
      <c r="AP26" s="829"/>
      <c r="AQ26" s="786"/>
      <c r="AR26" s="326"/>
      <c r="AS26" s="804"/>
      <c r="AT26" s="786"/>
      <c r="AU26" s="326"/>
      <c r="AV26" s="804"/>
      <c r="AW26" s="786"/>
      <c r="AX26" s="334"/>
      <c r="AY26" s="795"/>
      <c r="BA26" s="804"/>
      <c r="BB26" s="786"/>
      <c r="BC26" s="326"/>
      <c r="BD26" s="829"/>
      <c r="BE26" s="786"/>
      <c r="BF26" s="326"/>
      <c r="BG26" s="804"/>
      <c r="BH26" s="786"/>
      <c r="BI26" s="326"/>
      <c r="BJ26" s="804"/>
      <c r="BK26" s="786"/>
      <c r="BL26" s="334"/>
      <c r="BM26" s="795"/>
      <c r="BO26" s="804"/>
      <c r="BP26" s="786"/>
      <c r="BQ26" s="326"/>
      <c r="BR26" s="829"/>
      <c r="BS26" s="786"/>
      <c r="BT26" s="326"/>
      <c r="BU26" s="804"/>
      <c r="BV26" s="786"/>
      <c r="BW26" s="326"/>
      <c r="BX26" s="804"/>
      <c r="BY26" s="786"/>
      <c r="BZ26" s="334"/>
      <c r="CA26" s="795"/>
    </row>
    <row r="27" spans="2:79" ht="15" x14ac:dyDescent="0.2">
      <c r="B27" s="869"/>
      <c r="C27" s="812"/>
      <c r="D27" s="339" t="str">
        <f>+'Plan de Accion 2018'!F101</f>
        <v>Plan de capacitación</v>
      </c>
      <c r="E27" s="818"/>
      <c r="F27" s="810"/>
      <c r="G27" s="326"/>
      <c r="H27" s="336">
        <f>+'Plan de Accion 2018'!AD101</f>
        <v>0</v>
      </c>
      <c r="I27" s="337">
        <f>+'Plan de Accion 2018'!BM101</f>
        <v>0</v>
      </c>
      <c r="J27" s="330">
        <f>+'Plan de Accion 2018'!AF101</f>
        <v>0</v>
      </c>
      <c r="K27" s="329"/>
      <c r="L27" s="336">
        <f>+'Plan de Accion 2018'!AN101</f>
        <v>0</v>
      </c>
      <c r="M27" s="337">
        <f>+'Plan de Accion 2018'!BO101</f>
        <v>0</v>
      </c>
      <c r="N27" s="338">
        <f>+'Plan de Accion 2018'!AP101</f>
        <v>0</v>
      </c>
      <c r="O27" s="329"/>
      <c r="P27" s="336">
        <f>+'Plan de Accion 2018'!AX101</f>
        <v>0</v>
      </c>
      <c r="Q27" s="337">
        <f>+'Plan de Accion 2018'!BQ101</f>
        <v>0</v>
      </c>
      <c r="R27" s="338">
        <f>+'Plan de Accion 2018'!AZ101</f>
        <v>0</v>
      </c>
      <c r="S27" s="329"/>
      <c r="T27" s="336">
        <f>+'Plan de Accion 2018'!BH101</f>
        <v>0</v>
      </c>
      <c r="U27" s="337">
        <f>+'Plan de Accion 2018'!BS101</f>
        <v>0</v>
      </c>
      <c r="V27" s="338">
        <f>+'Plan de Accion 2018'!BJ101</f>
        <v>0</v>
      </c>
      <c r="W27" s="798"/>
      <c r="Y27" s="804"/>
      <c r="Z27" s="786"/>
      <c r="AA27" s="326"/>
      <c r="AB27" s="829"/>
      <c r="AC27" s="786"/>
      <c r="AD27" s="326"/>
      <c r="AE27" s="804"/>
      <c r="AF27" s="786"/>
      <c r="AG27" s="326"/>
      <c r="AH27" s="804"/>
      <c r="AI27" s="786"/>
      <c r="AJ27" s="334"/>
      <c r="AK27" s="795"/>
      <c r="AM27" s="804"/>
      <c r="AN27" s="786"/>
      <c r="AO27" s="326"/>
      <c r="AP27" s="829"/>
      <c r="AQ27" s="786"/>
      <c r="AR27" s="326"/>
      <c r="AS27" s="804"/>
      <c r="AT27" s="786"/>
      <c r="AU27" s="326"/>
      <c r="AV27" s="804"/>
      <c r="AW27" s="786"/>
      <c r="AX27" s="334"/>
      <c r="AY27" s="795"/>
      <c r="BA27" s="804"/>
      <c r="BB27" s="786"/>
      <c r="BC27" s="326"/>
      <c r="BD27" s="829"/>
      <c r="BE27" s="786"/>
      <c r="BF27" s="326"/>
      <c r="BG27" s="804"/>
      <c r="BH27" s="786"/>
      <c r="BI27" s="326"/>
      <c r="BJ27" s="804"/>
      <c r="BK27" s="786"/>
      <c r="BL27" s="334"/>
      <c r="BM27" s="795"/>
      <c r="BO27" s="804"/>
      <c r="BP27" s="786"/>
      <c r="BQ27" s="326"/>
      <c r="BR27" s="829"/>
      <c r="BS27" s="786"/>
      <c r="BT27" s="326"/>
      <c r="BU27" s="804"/>
      <c r="BV27" s="786"/>
      <c r="BW27" s="326"/>
      <c r="BX27" s="804"/>
      <c r="BY27" s="786"/>
      <c r="BZ27" s="334"/>
      <c r="CA27" s="795"/>
    </row>
    <row r="28" spans="2:79" ht="15" x14ac:dyDescent="0.2">
      <c r="B28" s="869"/>
      <c r="C28" s="812"/>
      <c r="D28" s="339" t="str">
        <f>+'Plan de Accion 2018'!F102</f>
        <v>Plan de Bienestar</v>
      </c>
      <c r="E28" s="818"/>
      <c r="F28" s="810"/>
      <c r="G28" s="326"/>
      <c r="H28" s="336">
        <f>+'Plan de Accion 2018'!AD102</f>
        <v>0</v>
      </c>
      <c r="I28" s="337">
        <f>+'Plan de Accion 2018'!BM102</f>
        <v>0</v>
      </c>
      <c r="J28" s="330">
        <f>+'Plan de Accion 2018'!AF102</f>
        <v>0</v>
      </c>
      <c r="K28" s="329"/>
      <c r="L28" s="336">
        <f>+'Plan de Accion 2018'!AN102</f>
        <v>0</v>
      </c>
      <c r="M28" s="337">
        <f>+'Plan de Accion 2018'!BO102</f>
        <v>0</v>
      </c>
      <c r="N28" s="338">
        <f>+'Plan de Accion 2018'!AP102</f>
        <v>0</v>
      </c>
      <c r="O28" s="329"/>
      <c r="P28" s="336">
        <f>+'Plan de Accion 2018'!AX102</f>
        <v>0</v>
      </c>
      <c r="Q28" s="337">
        <f>+'Plan de Accion 2018'!BQ102</f>
        <v>0</v>
      </c>
      <c r="R28" s="338">
        <f>+'Plan de Accion 2018'!AZ102</f>
        <v>0</v>
      </c>
      <c r="S28" s="329"/>
      <c r="T28" s="336">
        <f>+'Plan de Accion 2018'!BH102</f>
        <v>0</v>
      </c>
      <c r="U28" s="337">
        <f>+'Plan de Accion 2018'!BS102</f>
        <v>0</v>
      </c>
      <c r="V28" s="338">
        <f>+'Plan de Accion 2018'!BJ102</f>
        <v>0</v>
      </c>
      <c r="W28" s="798"/>
      <c r="Y28" s="804"/>
      <c r="Z28" s="786"/>
      <c r="AA28" s="326"/>
      <c r="AB28" s="829"/>
      <c r="AC28" s="786"/>
      <c r="AD28" s="326"/>
      <c r="AE28" s="804"/>
      <c r="AF28" s="786"/>
      <c r="AG28" s="326"/>
      <c r="AH28" s="804"/>
      <c r="AI28" s="786"/>
      <c r="AJ28" s="334"/>
      <c r="AK28" s="795"/>
      <c r="AM28" s="804"/>
      <c r="AN28" s="786"/>
      <c r="AO28" s="326"/>
      <c r="AP28" s="829"/>
      <c r="AQ28" s="786"/>
      <c r="AR28" s="326"/>
      <c r="AS28" s="804"/>
      <c r="AT28" s="786"/>
      <c r="AU28" s="326"/>
      <c r="AV28" s="804"/>
      <c r="AW28" s="786"/>
      <c r="AX28" s="334"/>
      <c r="AY28" s="795"/>
      <c r="BA28" s="804"/>
      <c r="BB28" s="786"/>
      <c r="BC28" s="326"/>
      <c r="BD28" s="829"/>
      <c r="BE28" s="786"/>
      <c r="BF28" s="326"/>
      <c r="BG28" s="804"/>
      <c r="BH28" s="786"/>
      <c r="BI28" s="326"/>
      <c r="BJ28" s="804"/>
      <c r="BK28" s="786"/>
      <c r="BL28" s="334"/>
      <c r="BM28" s="795"/>
      <c r="BO28" s="804"/>
      <c r="BP28" s="786"/>
      <c r="BQ28" s="326"/>
      <c r="BR28" s="829"/>
      <c r="BS28" s="786"/>
      <c r="BT28" s="326"/>
      <c r="BU28" s="804"/>
      <c r="BV28" s="786"/>
      <c r="BW28" s="326"/>
      <c r="BX28" s="804"/>
      <c r="BY28" s="786"/>
      <c r="BZ28" s="334"/>
      <c r="CA28" s="795"/>
    </row>
    <row r="29" spans="2:79" ht="15" x14ac:dyDescent="0.2">
      <c r="B29" s="869"/>
      <c r="C29" s="812"/>
      <c r="D29" s="339" t="str">
        <f>+'Plan de Accion 2018'!F104</f>
        <v>Sistema de nómina ( Solredes)</v>
      </c>
      <c r="E29" s="818"/>
      <c r="F29" s="810"/>
      <c r="G29" s="326"/>
      <c r="H29" s="336">
        <f>+'Plan de Accion 2018'!AD104</f>
        <v>0</v>
      </c>
      <c r="I29" s="337">
        <f>+'Plan de Accion 2018'!BM104</f>
        <v>0</v>
      </c>
      <c r="J29" s="330">
        <f>+'Plan de Accion 2018'!AF104</f>
        <v>0</v>
      </c>
      <c r="K29" s="329"/>
      <c r="L29" s="336">
        <f>+'Plan de Accion 2018'!AN104</f>
        <v>0</v>
      </c>
      <c r="M29" s="337">
        <f>+'Plan de Accion 2018'!BO104</f>
        <v>0</v>
      </c>
      <c r="N29" s="338">
        <f>+'Plan de Accion 2018'!AP104</f>
        <v>0</v>
      </c>
      <c r="O29" s="329"/>
      <c r="P29" s="336">
        <f>+'Plan de Accion 2018'!AX104</f>
        <v>0</v>
      </c>
      <c r="Q29" s="337">
        <f>+'Plan de Accion 2018'!BQ104</f>
        <v>0</v>
      </c>
      <c r="R29" s="338">
        <f>+'Plan de Accion 2018'!AZ104</f>
        <v>0</v>
      </c>
      <c r="S29" s="329"/>
      <c r="T29" s="336">
        <f>+'Plan de Accion 2018'!BH104</f>
        <v>0</v>
      </c>
      <c r="U29" s="337">
        <f>+'Plan de Accion 2018'!BS104</f>
        <v>0</v>
      </c>
      <c r="V29" s="338">
        <f>+'Plan de Accion 2018'!BJ104</f>
        <v>0</v>
      </c>
      <c r="W29" s="798"/>
      <c r="Y29" s="804"/>
      <c r="Z29" s="786"/>
      <c r="AA29" s="326"/>
      <c r="AB29" s="829"/>
      <c r="AC29" s="786"/>
      <c r="AD29" s="326"/>
      <c r="AE29" s="804"/>
      <c r="AF29" s="786"/>
      <c r="AG29" s="326"/>
      <c r="AH29" s="804"/>
      <c r="AI29" s="786"/>
      <c r="AJ29" s="334"/>
      <c r="AK29" s="795"/>
      <c r="AM29" s="804"/>
      <c r="AN29" s="786"/>
      <c r="AO29" s="326"/>
      <c r="AP29" s="829"/>
      <c r="AQ29" s="786"/>
      <c r="AR29" s="326"/>
      <c r="AS29" s="804"/>
      <c r="AT29" s="786"/>
      <c r="AU29" s="326"/>
      <c r="AV29" s="804"/>
      <c r="AW29" s="786"/>
      <c r="AX29" s="334"/>
      <c r="AY29" s="795"/>
      <c r="BA29" s="804"/>
      <c r="BB29" s="786"/>
      <c r="BC29" s="326"/>
      <c r="BD29" s="829"/>
      <c r="BE29" s="786"/>
      <c r="BF29" s="326"/>
      <c r="BG29" s="804"/>
      <c r="BH29" s="786"/>
      <c r="BI29" s="326"/>
      <c r="BJ29" s="804"/>
      <c r="BK29" s="786"/>
      <c r="BL29" s="334"/>
      <c r="BM29" s="795"/>
      <c r="BO29" s="804"/>
      <c r="BP29" s="786"/>
      <c r="BQ29" s="326"/>
      <c r="BR29" s="829"/>
      <c r="BS29" s="786"/>
      <c r="BT29" s="326"/>
      <c r="BU29" s="804"/>
      <c r="BV29" s="786"/>
      <c r="BW29" s="326"/>
      <c r="BX29" s="804"/>
      <c r="BY29" s="786"/>
      <c r="BZ29" s="334"/>
      <c r="CA29" s="795"/>
    </row>
    <row r="30" spans="2:79" ht="15" x14ac:dyDescent="0.2">
      <c r="B30" s="869"/>
      <c r="C30" s="812"/>
      <c r="D30" s="339" t="str">
        <f>+'Plan de Accion 2018'!F110</f>
        <v>Gestión de Correspondencia</v>
      </c>
      <c r="E30" s="818"/>
      <c r="F30" s="810"/>
      <c r="G30" s="326"/>
      <c r="H30" s="336">
        <f>+'Plan de Accion 2018'!AD110</f>
        <v>0.43977388786953714</v>
      </c>
      <c r="I30" s="337">
        <f>+'Plan de Accion 2018'!BM110</f>
        <v>0.43977388786953714</v>
      </c>
      <c r="J30" s="330">
        <f>+'Plan de Accion 2018'!AF110</f>
        <v>0.10994347196738428</v>
      </c>
      <c r="K30" s="329"/>
      <c r="L30" s="336">
        <f>+'Plan de Accion 2018'!AN110</f>
        <v>0</v>
      </c>
      <c r="M30" s="337">
        <f>+'Plan de Accion 2018'!BO110</f>
        <v>0</v>
      </c>
      <c r="N30" s="338">
        <f>+'Plan de Accion 2018'!AP110</f>
        <v>0.10994347196738428</v>
      </c>
      <c r="O30" s="329"/>
      <c r="P30" s="336">
        <f>+'Plan de Accion 2018'!AX110</f>
        <v>0</v>
      </c>
      <c r="Q30" s="337">
        <f>+'Plan de Accion 2018'!BQ110</f>
        <v>0</v>
      </c>
      <c r="R30" s="338">
        <f>+'Plan de Accion 2018'!AZ110</f>
        <v>0.10994347196738428</v>
      </c>
      <c r="S30" s="329"/>
      <c r="T30" s="336">
        <f>+'Plan de Accion 2018'!BH110</f>
        <v>0</v>
      </c>
      <c r="U30" s="337">
        <f>+'Plan de Accion 2018'!BS110</f>
        <v>0</v>
      </c>
      <c r="V30" s="338">
        <f>+'Plan de Accion 2018'!BJ110</f>
        <v>0.10994347196738428</v>
      </c>
      <c r="W30" s="798"/>
      <c r="Y30" s="804"/>
      <c r="Z30" s="786"/>
      <c r="AA30" s="326"/>
      <c r="AB30" s="829"/>
      <c r="AC30" s="786"/>
      <c r="AD30" s="326"/>
      <c r="AE30" s="804"/>
      <c r="AF30" s="786"/>
      <c r="AG30" s="326"/>
      <c r="AH30" s="804"/>
      <c r="AI30" s="786"/>
      <c r="AJ30" s="334"/>
      <c r="AK30" s="795"/>
      <c r="AM30" s="804"/>
      <c r="AN30" s="786"/>
      <c r="AO30" s="326"/>
      <c r="AP30" s="829"/>
      <c r="AQ30" s="786"/>
      <c r="AR30" s="326"/>
      <c r="AS30" s="804"/>
      <c r="AT30" s="786"/>
      <c r="AU30" s="326"/>
      <c r="AV30" s="804"/>
      <c r="AW30" s="786"/>
      <c r="AX30" s="334"/>
      <c r="AY30" s="795"/>
      <c r="BA30" s="804"/>
      <c r="BB30" s="786"/>
      <c r="BC30" s="326"/>
      <c r="BD30" s="829"/>
      <c r="BE30" s="786"/>
      <c r="BF30" s="326"/>
      <c r="BG30" s="804"/>
      <c r="BH30" s="786"/>
      <c r="BI30" s="326"/>
      <c r="BJ30" s="804"/>
      <c r="BK30" s="786"/>
      <c r="BL30" s="334"/>
      <c r="BM30" s="795"/>
      <c r="BO30" s="804"/>
      <c r="BP30" s="786"/>
      <c r="BQ30" s="326"/>
      <c r="BR30" s="829"/>
      <c r="BS30" s="786"/>
      <c r="BT30" s="326"/>
      <c r="BU30" s="804"/>
      <c r="BV30" s="786"/>
      <c r="BW30" s="326"/>
      <c r="BX30" s="804"/>
      <c r="BY30" s="786"/>
      <c r="BZ30" s="334"/>
      <c r="CA30" s="795"/>
    </row>
    <row r="31" spans="2:79" ht="99.75" x14ac:dyDescent="0.2">
      <c r="B31" s="869"/>
      <c r="C31" s="812"/>
      <c r="D31" s="339" t="str">
        <f>+'Plan de Accion 2018'!F111</f>
        <v>Fortalecimiento de canales de atención al ciudadano con el fin de brindar la atención, respuesta inmediata, seguimiento a solicitudes de los ciudadanos, empresas y servidores públicos. Call Center .</v>
      </c>
      <c r="E31" s="818"/>
      <c r="F31" s="810"/>
      <c r="G31" s="326"/>
      <c r="H31" s="336">
        <f>+'Plan de Accion 2018'!AD111</f>
        <v>1.023519968924556</v>
      </c>
      <c r="I31" s="337">
        <f>+'Plan de Accion 2018'!BM111</f>
        <v>1.023519968924556</v>
      </c>
      <c r="J31" s="330">
        <f>+'Plan de Accion 2018'!AF111</f>
        <v>0.255879992231139</v>
      </c>
      <c r="K31" s="329"/>
      <c r="L31" s="336">
        <f>+'Plan de Accion 2018'!AN111</f>
        <v>0</v>
      </c>
      <c r="M31" s="337">
        <f>+'Plan de Accion 2018'!BO111</f>
        <v>0</v>
      </c>
      <c r="N31" s="338">
        <f>+'Plan de Accion 2018'!AP111</f>
        <v>0.255879992231139</v>
      </c>
      <c r="O31" s="329"/>
      <c r="P31" s="336">
        <f>+'Plan de Accion 2018'!AX111</f>
        <v>0</v>
      </c>
      <c r="Q31" s="337">
        <f>+'Plan de Accion 2018'!BQ111</f>
        <v>0</v>
      </c>
      <c r="R31" s="338">
        <f>+'Plan de Accion 2018'!AZ111</f>
        <v>0.255879992231139</v>
      </c>
      <c r="S31" s="329"/>
      <c r="T31" s="336">
        <f>+'Plan de Accion 2018'!BH111</f>
        <v>0</v>
      </c>
      <c r="U31" s="337">
        <f>+'Plan de Accion 2018'!BS111</f>
        <v>0</v>
      </c>
      <c r="V31" s="338">
        <f>+'Plan de Accion 2018'!BJ111</f>
        <v>0.255879992231139</v>
      </c>
      <c r="W31" s="798"/>
      <c r="Y31" s="804"/>
      <c r="Z31" s="786"/>
      <c r="AA31" s="326"/>
      <c r="AB31" s="829"/>
      <c r="AC31" s="786"/>
      <c r="AD31" s="326"/>
      <c r="AE31" s="804"/>
      <c r="AF31" s="786"/>
      <c r="AG31" s="326"/>
      <c r="AH31" s="804"/>
      <c r="AI31" s="786"/>
      <c r="AJ31" s="334"/>
      <c r="AK31" s="795"/>
      <c r="AM31" s="804"/>
      <c r="AN31" s="786"/>
      <c r="AO31" s="326"/>
      <c r="AP31" s="829"/>
      <c r="AQ31" s="786"/>
      <c r="AR31" s="326"/>
      <c r="AS31" s="804"/>
      <c r="AT31" s="786"/>
      <c r="AU31" s="326"/>
      <c r="AV31" s="804"/>
      <c r="AW31" s="786"/>
      <c r="AX31" s="334"/>
      <c r="AY31" s="795"/>
      <c r="BA31" s="804"/>
      <c r="BB31" s="786"/>
      <c r="BC31" s="326"/>
      <c r="BD31" s="829"/>
      <c r="BE31" s="786"/>
      <c r="BF31" s="326"/>
      <c r="BG31" s="804"/>
      <c r="BH31" s="786"/>
      <c r="BI31" s="326"/>
      <c r="BJ31" s="804"/>
      <c r="BK31" s="786"/>
      <c r="BL31" s="334"/>
      <c r="BM31" s="795"/>
      <c r="BO31" s="804"/>
      <c r="BP31" s="786"/>
      <c r="BQ31" s="326"/>
      <c r="BR31" s="829"/>
      <c r="BS31" s="786"/>
      <c r="BT31" s="326"/>
      <c r="BU31" s="804"/>
      <c r="BV31" s="786"/>
      <c r="BW31" s="326"/>
      <c r="BX31" s="804"/>
      <c r="BY31" s="786"/>
      <c r="BZ31" s="334"/>
      <c r="CA31" s="795"/>
    </row>
    <row r="32" spans="2:79" ht="28.5" x14ac:dyDescent="0.2">
      <c r="B32" s="869"/>
      <c r="C32" s="812"/>
      <c r="D32" s="339" t="str">
        <f>+'Plan de Accion 2018'!F107</f>
        <v xml:space="preserve">Publicación Diario Oficial y diario de Amplia Circulación </v>
      </c>
      <c r="E32" s="818"/>
      <c r="F32" s="810"/>
      <c r="G32" s="326"/>
      <c r="H32" s="336">
        <f>+'Plan de Accion 2018'!AA107</f>
        <v>1</v>
      </c>
      <c r="I32" s="337" t="str">
        <f>+'Plan de Accion 2018'!BM107</f>
        <v>No Prog, Ejec=  57600</v>
      </c>
      <c r="J32" s="330">
        <f>+'Plan de Accion 2018'!AF107</f>
        <v>5.7600000000000001E-4</v>
      </c>
      <c r="K32" s="329"/>
      <c r="L32" s="336">
        <f>+'Plan de Accion 2018'!AN107</f>
        <v>0</v>
      </c>
      <c r="M32" s="337">
        <f>+'Plan de Accion 2018'!BO107</f>
        <v>0</v>
      </c>
      <c r="N32" s="338">
        <f>+'Plan de Accion 2018'!AP107</f>
        <v>5.7600000000000001E-4</v>
      </c>
      <c r="O32" s="329"/>
      <c r="P32" s="336" t="e">
        <f>+'Plan de Accion 2018'!AX107</f>
        <v>#DIV/0!</v>
      </c>
      <c r="Q32" s="337" t="str">
        <f>+'Plan de Accion 2018'!BQ107</f>
        <v>No Prog ni Ejec</v>
      </c>
      <c r="R32" s="338">
        <f>+'Plan de Accion 2018'!AZ107</f>
        <v>5.7600000000000001E-4</v>
      </c>
      <c r="S32" s="329"/>
      <c r="T32" s="336">
        <f>+'Plan de Accion 2018'!BH107</f>
        <v>0</v>
      </c>
      <c r="U32" s="337">
        <f>+'Plan de Accion 2018'!BS107</f>
        <v>0</v>
      </c>
      <c r="V32" s="338">
        <f>+'Plan de Accion 2018'!BJ107</f>
        <v>5.7600000000000001E-4</v>
      </c>
      <c r="W32" s="798"/>
      <c r="Y32" s="804"/>
      <c r="Z32" s="786"/>
      <c r="AA32" s="326"/>
      <c r="AB32" s="829"/>
      <c r="AC32" s="786"/>
      <c r="AD32" s="326"/>
      <c r="AE32" s="804"/>
      <c r="AF32" s="786"/>
      <c r="AG32" s="326"/>
      <c r="AH32" s="804"/>
      <c r="AI32" s="786"/>
      <c r="AJ32" s="334"/>
      <c r="AK32" s="795"/>
      <c r="AM32" s="804"/>
      <c r="AN32" s="786"/>
      <c r="AO32" s="326"/>
      <c r="AP32" s="829"/>
      <c r="AQ32" s="786"/>
      <c r="AR32" s="326"/>
      <c r="AS32" s="804"/>
      <c r="AT32" s="786"/>
      <c r="AU32" s="326"/>
      <c r="AV32" s="804"/>
      <c r="AW32" s="786"/>
      <c r="AX32" s="334"/>
      <c r="AY32" s="795"/>
      <c r="BA32" s="804"/>
      <c r="BB32" s="786"/>
      <c r="BC32" s="326"/>
      <c r="BD32" s="829"/>
      <c r="BE32" s="786"/>
      <c r="BF32" s="326"/>
      <c r="BG32" s="804"/>
      <c r="BH32" s="786"/>
      <c r="BI32" s="326"/>
      <c r="BJ32" s="804"/>
      <c r="BK32" s="786"/>
      <c r="BL32" s="334"/>
      <c r="BM32" s="795"/>
      <c r="BO32" s="804"/>
      <c r="BP32" s="786"/>
      <c r="BQ32" s="326"/>
      <c r="BR32" s="829"/>
      <c r="BS32" s="786"/>
      <c r="BT32" s="326"/>
      <c r="BU32" s="804"/>
      <c r="BV32" s="786"/>
      <c r="BW32" s="326"/>
      <c r="BX32" s="804"/>
      <c r="BY32" s="786"/>
      <c r="BZ32" s="334"/>
      <c r="CA32" s="795"/>
    </row>
    <row r="33" spans="2:79" ht="28.5" x14ac:dyDescent="0.2">
      <c r="B33" s="869"/>
      <c r="C33" s="812"/>
      <c r="D33" s="339" t="str">
        <f>+'Plan de Accion 2018'!F113</f>
        <v>Custodia documental y atención de consultas</v>
      </c>
      <c r="E33" s="818"/>
      <c r="F33" s="810"/>
      <c r="G33" s="326"/>
      <c r="H33" s="336">
        <f>+'Plan de Accion 2018'!AD113</f>
        <v>1.3636394578199698</v>
      </c>
      <c r="I33" s="337">
        <f>+'Plan de Accion 2018'!BM113</f>
        <v>1.3636394578199698</v>
      </c>
      <c r="J33" s="330">
        <f>+'Plan de Accion 2018'!AF113</f>
        <v>0.34090986445499244</v>
      </c>
      <c r="K33" s="329"/>
      <c r="L33" s="336">
        <f>+'Plan de Accion 2018'!AN113</f>
        <v>0</v>
      </c>
      <c r="M33" s="337">
        <f>+'Plan de Accion 2018'!BO113</f>
        <v>0</v>
      </c>
      <c r="N33" s="338">
        <f>+'Plan de Accion 2018'!AP113</f>
        <v>0.34090986445499244</v>
      </c>
      <c r="O33" s="329"/>
      <c r="P33" s="336">
        <f>+'Plan de Accion 2018'!AX113</f>
        <v>0</v>
      </c>
      <c r="Q33" s="337">
        <f>+'Plan de Accion 2018'!BQ113</f>
        <v>0</v>
      </c>
      <c r="R33" s="338">
        <f>+'Plan de Accion 2018'!AZ113</f>
        <v>0.34090986445499244</v>
      </c>
      <c r="S33" s="329"/>
      <c r="T33" s="336">
        <f>+'Plan de Accion 2018'!BH113</f>
        <v>0</v>
      </c>
      <c r="U33" s="337">
        <f>+'Plan de Accion 2018'!BS113</f>
        <v>0</v>
      </c>
      <c r="V33" s="338">
        <f>+'Plan de Accion 2018'!BJ113</f>
        <v>0.34090986445499244</v>
      </c>
      <c r="W33" s="798"/>
      <c r="Y33" s="804"/>
      <c r="Z33" s="786"/>
      <c r="AA33" s="326"/>
      <c r="AB33" s="829"/>
      <c r="AC33" s="786"/>
      <c r="AD33" s="326"/>
      <c r="AE33" s="804"/>
      <c r="AF33" s="786"/>
      <c r="AG33" s="326"/>
      <c r="AH33" s="804"/>
      <c r="AI33" s="786"/>
      <c r="AJ33" s="334"/>
      <c r="AK33" s="795"/>
      <c r="AM33" s="804"/>
      <c r="AN33" s="786"/>
      <c r="AO33" s="326"/>
      <c r="AP33" s="829"/>
      <c r="AQ33" s="786"/>
      <c r="AR33" s="326"/>
      <c r="AS33" s="804"/>
      <c r="AT33" s="786"/>
      <c r="AU33" s="326"/>
      <c r="AV33" s="804"/>
      <c r="AW33" s="786"/>
      <c r="AX33" s="334"/>
      <c r="AY33" s="795"/>
      <c r="BA33" s="804"/>
      <c r="BB33" s="786"/>
      <c r="BC33" s="326"/>
      <c r="BD33" s="829"/>
      <c r="BE33" s="786"/>
      <c r="BF33" s="326"/>
      <c r="BG33" s="804"/>
      <c r="BH33" s="786"/>
      <c r="BI33" s="326"/>
      <c r="BJ33" s="804"/>
      <c r="BK33" s="786"/>
      <c r="BL33" s="334"/>
      <c r="BM33" s="795"/>
      <c r="BO33" s="804"/>
      <c r="BP33" s="786"/>
      <c r="BQ33" s="326"/>
      <c r="BR33" s="829"/>
      <c r="BS33" s="786"/>
      <c r="BT33" s="326"/>
      <c r="BU33" s="804"/>
      <c r="BV33" s="786"/>
      <c r="BW33" s="326"/>
      <c r="BX33" s="804"/>
      <c r="BY33" s="786"/>
      <c r="BZ33" s="334"/>
      <c r="CA33" s="795"/>
    </row>
    <row r="34" spans="2:79" ht="28.5" x14ac:dyDescent="0.25">
      <c r="B34" s="869"/>
      <c r="C34" s="812"/>
      <c r="D34" s="339" t="str">
        <f>+'Plan de Accion 2018'!F9</f>
        <v>Estrategia de Comunicación y  Marketing de la Adres</v>
      </c>
      <c r="E34" s="341" t="str">
        <f>+'Plan de Accion 2018'!B9</f>
        <v>Dirección General</v>
      </c>
      <c r="F34" s="810"/>
      <c r="G34" s="342"/>
      <c r="H34" s="343">
        <f>+'Plan de Accion 2018'!AD9</f>
        <v>0</v>
      </c>
      <c r="I34" s="337">
        <f>+'Plan de Accion 2018'!BM9</f>
        <v>0</v>
      </c>
      <c r="J34" s="330">
        <f>+'Plan de Accion 2018'!AF9</f>
        <v>0</v>
      </c>
      <c r="K34" s="344"/>
      <c r="L34" s="336">
        <f>+'Plan de Accion 2018'!AK9</f>
        <v>0</v>
      </c>
      <c r="M34" s="337">
        <f>+'Plan de Accion 2018'!BO9</f>
        <v>0</v>
      </c>
      <c r="N34" s="338">
        <f>+'Plan de Accion 2018'!AP9</f>
        <v>0</v>
      </c>
      <c r="O34" s="344"/>
      <c r="P34" s="336">
        <f>+'Plan de Accion 2018'!AU9</f>
        <v>0</v>
      </c>
      <c r="Q34" s="337">
        <f>+'Plan de Accion 2018'!BQ9</f>
        <v>0</v>
      </c>
      <c r="R34" s="338">
        <f>+'Plan de Accion 2018'!AZ9</f>
        <v>0</v>
      </c>
      <c r="S34" s="344"/>
      <c r="T34" s="336">
        <f>+'Plan de Accion 2018'!BE9</f>
        <v>0</v>
      </c>
      <c r="U34" s="337">
        <f>+'Plan de Accion 2018'!BS9</f>
        <v>0</v>
      </c>
      <c r="V34" s="338">
        <f>+'Plan de Accion 2018'!BJ9</f>
        <v>0</v>
      </c>
      <c r="W34" s="798"/>
      <c r="Y34" s="804"/>
      <c r="Z34" s="786"/>
      <c r="AA34" s="326"/>
      <c r="AB34" s="829"/>
      <c r="AC34" s="786"/>
      <c r="AD34" s="326"/>
      <c r="AE34" s="804"/>
      <c r="AF34" s="786"/>
      <c r="AG34" s="326"/>
      <c r="AH34" s="804"/>
      <c r="AI34" s="786"/>
      <c r="AJ34" s="334"/>
      <c r="AK34" s="795"/>
      <c r="AM34" s="804"/>
      <c r="AN34" s="786"/>
      <c r="AO34" s="326"/>
      <c r="AP34" s="829"/>
      <c r="AQ34" s="786"/>
      <c r="AR34" s="326"/>
      <c r="AS34" s="804"/>
      <c r="AT34" s="786"/>
      <c r="AU34" s="326"/>
      <c r="AV34" s="804"/>
      <c r="AW34" s="786"/>
      <c r="AX34" s="334"/>
      <c r="AY34" s="795"/>
      <c r="BA34" s="804"/>
      <c r="BB34" s="786"/>
      <c r="BC34" s="326"/>
      <c r="BD34" s="829"/>
      <c r="BE34" s="786"/>
      <c r="BF34" s="326"/>
      <c r="BG34" s="804"/>
      <c r="BH34" s="786"/>
      <c r="BI34" s="326"/>
      <c r="BJ34" s="804"/>
      <c r="BK34" s="786"/>
      <c r="BL34" s="334"/>
      <c r="BM34" s="795"/>
      <c r="BO34" s="804"/>
      <c r="BP34" s="786"/>
      <c r="BQ34" s="326"/>
      <c r="BR34" s="829"/>
      <c r="BS34" s="786"/>
      <c r="BT34" s="326"/>
      <c r="BU34" s="804"/>
      <c r="BV34" s="786"/>
      <c r="BW34" s="326"/>
      <c r="BX34" s="804"/>
      <c r="BY34" s="786"/>
      <c r="BZ34" s="334"/>
      <c r="CA34" s="795"/>
    </row>
    <row r="35" spans="2:79" ht="43.5" thickBot="1" x14ac:dyDescent="0.3">
      <c r="B35" s="869"/>
      <c r="C35" s="813"/>
      <c r="D35" s="345" t="str">
        <f>+'Plan de Accion 2018'!F142</f>
        <v>Modelo Integrado de Planeación</v>
      </c>
      <c r="E35" s="346" t="str">
        <f>+'Plan de Accion 2018'!B142</f>
        <v>Oficina Asesora de Planeación y Control de Riegos</v>
      </c>
      <c r="F35" s="347" t="str">
        <f>+'Plan de Accion 2018'!R142</f>
        <v>Ejecución del Trimestre / Presupuesto Proyectado del Trimestre</v>
      </c>
      <c r="G35" s="342"/>
      <c r="H35" s="348">
        <f>+'Plan de Accion 2018'!AD142</f>
        <v>0.5444444206511696</v>
      </c>
      <c r="I35" s="349">
        <f>+'Plan de Accion 2018'!BM142</f>
        <v>0.5444444206511696</v>
      </c>
      <c r="J35" s="440">
        <f>+'Plan de Accion 2018'!AF142</f>
        <v>0.1361111051627924</v>
      </c>
      <c r="K35" s="344"/>
      <c r="L35" s="348">
        <f>+'Plan de Accion 2018'!AK142</f>
        <v>0</v>
      </c>
      <c r="M35" s="349">
        <f>+'Plan de Accion 2018'!BO142</f>
        <v>0</v>
      </c>
      <c r="N35" s="350">
        <f>+'Plan de Accion 2018'!AP142</f>
        <v>0.1361111051627924</v>
      </c>
      <c r="O35" s="344"/>
      <c r="P35" s="348">
        <f>+'Plan de Accion 2018'!AU142</f>
        <v>0</v>
      </c>
      <c r="Q35" s="349">
        <f>+'Plan de Accion 2018'!BQ142</f>
        <v>0</v>
      </c>
      <c r="R35" s="350">
        <f>+'Plan de Accion 2018'!AZ142</f>
        <v>0.1361111051627924</v>
      </c>
      <c r="S35" s="344"/>
      <c r="T35" s="348">
        <f>+'Plan de Accion 2018'!BE142</f>
        <v>0</v>
      </c>
      <c r="U35" s="349">
        <f>+'Plan de Accion 2018'!BS142</f>
        <v>0</v>
      </c>
      <c r="V35" s="350">
        <f>+'Plan de Accion 2018'!BJ142</f>
        <v>0.1361111051627924</v>
      </c>
      <c r="W35" s="798"/>
      <c r="Y35" s="804"/>
      <c r="Z35" s="786"/>
      <c r="AA35" s="326"/>
      <c r="AB35" s="829"/>
      <c r="AC35" s="786"/>
      <c r="AD35" s="326"/>
      <c r="AE35" s="804"/>
      <c r="AF35" s="786"/>
      <c r="AG35" s="326"/>
      <c r="AH35" s="804"/>
      <c r="AI35" s="786"/>
      <c r="AJ35" s="334"/>
      <c r="AK35" s="795"/>
      <c r="AM35" s="804"/>
      <c r="AN35" s="786"/>
      <c r="AO35" s="326"/>
      <c r="AP35" s="829"/>
      <c r="AQ35" s="786"/>
      <c r="AR35" s="326"/>
      <c r="AS35" s="804"/>
      <c r="AT35" s="786"/>
      <c r="AU35" s="326"/>
      <c r="AV35" s="804"/>
      <c r="AW35" s="786"/>
      <c r="AX35" s="334"/>
      <c r="AY35" s="795"/>
      <c r="BA35" s="804"/>
      <c r="BB35" s="786"/>
      <c r="BC35" s="326"/>
      <c r="BD35" s="829"/>
      <c r="BE35" s="786"/>
      <c r="BF35" s="326"/>
      <c r="BG35" s="804"/>
      <c r="BH35" s="786"/>
      <c r="BI35" s="326"/>
      <c r="BJ35" s="804"/>
      <c r="BK35" s="786"/>
      <c r="BL35" s="334"/>
      <c r="BM35" s="795"/>
      <c r="BO35" s="804"/>
      <c r="BP35" s="786"/>
      <c r="BQ35" s="326"/>
      <c r="BR35" s="829"/>
      <c r="BS35" s="786"/>
      <c r="BT35" s="326"/>
      <c r="BU35" s="804"/>
      <c r="BV35" s="786"/>
      <c r="BW35" s="326"/>
      <c r="BX35" s="804"/>
      <c r="BY35" s="786"/>
      <c r="BZ35" s="334"/>
      <c r="CA35" s="795"/>
    </row>
    <row r="36" spans="2:79" ht="15.75" thickBot="1" x14ac:dyDescent="0.25">
      <c r="B36" s="870"/>
      <c r="C36" s="814" t="s">
        <v>798</v>
      </c>
      <c r="D36" s="815"/>
      <c r="E36" s="815"/>
      <c r="F36" s="816"/>
      <c r="G36" s="351"/>
      <c r="H36" s="352" t="s">
        <v>792</v>
      </c>
      <c r="I36" s="353">
        <f>SUM(I15:I35)/COUNT(I15:I35)</f>
        <v>0.44552280256549676</v>
      </c>
      <c r="J36" s="355">
        <f>SUM(J20:J35,J15:J17)/COUNT(J20:J35,J15:J17)</f>
        <v>0.10042340287126582</v>
      </c>
      <c r="K36" s="354"/>
      <c r="L36" s="352" t="s">
        <v>792</v>
      </c>
      <c r="M36" s="353">
        <f>SUM(M15:M35)/COUNT(M15:M35)</f>
        <v>0</v>
      </c>
      <c r="N36" s="355">
        <f>SUM(N20:N35,N15:N17)/COUNT(N20:N35,N15:N17)</f>
        <v>0.10042340287126582</v>
      </c>
      <c r="O36" s="354"/>
      <c r="P36" s="352" t="s">
        <v>792</v>
      </c>
      <c r="Q36" s="353">
        <f>SUM(Q15:Q35)/COUNT(Q15:Q35)</f>
        <v>0</v>
      </c>
      <c r="R36" s="355">
        <f>SUM(R20:R35,R15:R17)/COUNT(R20:R35,R15:R17)</f>
        <v>0.10042340287126582</v>
      </c>
      <c r="S36" s="354"/>
      <c r="T36" s="352" t="s">
        <v>792</v>
      </c>
      <c r="U36" s="353">
        <f>SUM(U15:U35)/COUNT(U15:U35)</f>
        <v>0</v>
      </c>
      <c r="V36" s="355">
        <f>SUM(V20:V35,V15:V17)/COUNT(V20:V35,V15:V17)</f>
        <v>0.10042340287126582</v>
      </c>
      <c r="W36" s="798"/>
      <c r="Y36" s="804"/>
      <c r="Z36" s="786"/>
      <c r="AA36" s="326"/>
      <c r="AB36" s="829"/>
      <c r="AC36" s="786"/>
      <c r="AD36" s="326"/>
      <c r="AE36" s="804"/>
      <c r="AF36" s="786"/>
      <c r="AG36" s="326"/>
      <c r="AH36" s="804"/>
      <c r="AI36" s="786"/>
      <c r="AJ36" s="334"/>
      <c r="AK36" s="795"/>
      <c r="AM36" s="804"/>
      <c r="AN36" s="786"/>
      <c r="AO36" s="326"/>
      <c r="AP36" s="829"/>
      <c r="AQ36" s="786"/>
      <c r="AR36" s="326"/>
      <c r="AS36" s="804"/>
      <c r="AT36" s="786"/>
      <c r="AU36" s="326"/>
      <c r="AV36" s="804"/>
      <c r="AW36" s="786"/>
      <c r="AX36" s="334"/>
      <c r="AY36" s="795"/>
      <c r="BA36" s="804"/>
      <c r="BB36" s="786"/>
      <c r="BC36" s="326"/>
      <c r="BD36" s="829"/>
      <c r="BE36" s="786"/>
      <c r="BF36" s="326"/>
      <c r="BG36" s="804"/>
      <c r="BH36" s="786"/>
      <c r="BI36" s="326"/>
      <c r="BJ36" s="804"/>
      <c r="BK36" s="786"/>
      <c r="BL36" s="334"/>
      <c r="BM36" s="795"/>
      <c r="BO36" s="804"/>
      <c r="BP36" s="786"/>
      <c r="BQ36" s="326"/>
      <c r="BR36" s="829"/>
      <c r="BS36" s="786"/>
      <c r="BT36" s="326"/>
      <c r="BU36" s="804"/>
      <c r="BV36" s="786"/>
      <c r="BW36" s="326"/>
      <c r="BX36" s="804"/>
      <c r="BY36" s="786"/>
      <c r="BZ36" s="334"/>
      <c r="CA36" s="795"/>
    </row>
    <row r="37" spans="2:79" ht="16.5" customHeight="1" thickBot="1" x14ac:dyDescent="0.25">
      <c r="B37" s="869"/>
      <c r="C37" s="840" t="s">
        <v>145</v>
      </c>
      <c r="D37" s="778" t="str">
        <f>+'Plan de Accion 2018'!F15</f>
        <v>Seguimiento Ejecución Presupuestal de recursos administrados URA</v>
      </c>
      <c r="E37" s="778" t="str">
        <f>+'Plan de Accion 2018'!B27</f>
        <v>Dirección de Gestión de Recursos Financieros de Salud</v>
      </c>
      <c r="F37" s="831" t="str">
        <f>+'Plan de Accion 2018'!R27</f>
        <v>Ejecución del Trimestre / Presupuesto Proyectado del Trimestre</v>
      </c>
      <c r="G37" s="326"/>
      <c r="H37" s="1081">
        <f>+'Plan de Accion 2018'!AA15</f>
        <v>0.24536724522564832</v>
      </c>
      <c r="I37" s="328">
        <f>+'Plan de Accion 2018'!BM15</f>
        <v>0.98146898090259327</v>
      </c>
      <c r="J37" s="330">
        <f>+'Plan de Accion 2018'!AF15</f>
        <v>0.24536724522564832</v>
      </c>
      <c r="K37" s="329"/>
      <c r="L37" s="327">
        <f>+'Plan de Accion 2018'!AK15</f>
        <v>0</v>
      </c>
      <c r="M37" s="328">
        <f>+'Plan de Accion 2018'!BO15</f>
        <v>0</v>
      </c>
      <c r="N37" s="330">
        <f>+'Plan de Accion 2018'!AP15</f>
        <v>0.24536724522564832</v>
      </c>
      <c r="O37" s="329"/>
      <c r="P37" s="327">
        <f>+'Plan de Accion 2018'!AU15</f>
        <v>0</v>
      </c>
      <c r="Q37" s="328">
        <f>+'Plan de Accion 2018'!BQ15</f>
        <v>0</v>
      </c>
      <c r="R37" s="330">
        <f>+'Plan de Accion 2018'!AZ15</f>
        <v>0.24536724522564832</v>
      </c>
      <c r="S37" s="329"/>
      <c r="T37" s="327">
        <f>+'Plan de Accion 2018'!BE15</f>
        <v>0</v>
      </c>
      <c r="U37" s="328">
        <f>+'Plan de Accion 2018'!BS15</f>
        <v>0</v>
      </c>
      <c r="V37" s="330">
        <f>+'Plan de Accion 2018'!BJ15</f>
        <v>0.24536724522564832</v>
      </c>
      <c r="W37" s="799"/>
      <c r="Y37" s="805"/>
      <c r="Z37" s="787"/>
      <c r="AA37" s="326"/>
      <c r="AB37" s="830"/>
      <c r="AC37" s="787"/>
      <c r="AD37" s="326"/>
      <c r="AE37" s="805"/>
      <c r="AF37" s="787"/>
      <c r="AG37" s="326"/>
      <c r="AH37" s="805"/>
      <c r="AI37" s="787"/>
      <c r="AJ37" s="334"/>
      <c r="AK37" s="796"/>
      <c r="AM37" s="805"/>
      <c r="AN37" s="787"/>
      <c r="AO37" s="326"/>
      <c r="AP37" s="830"/>
      <c r="AQ37" s="787"/>
      <c r="AR37" s="326"/>
      <c r="AS37" s="805"/>
      <c r="AT37" s="787"/>
      <c r="AU37" s="326"/>
      <c r="AV37" s="805"/>
      <c r="AW37" s="787"/>
      <c r="AX37" s="334"/>
      <c r="AY37" s="796"/>
      <c r="BA37" s="805"/>
      <c r="BB37" s="787"/>
      <c r="BC37" s="326"/>
      <c r="BD37" s="830"/>
      <c r="BE37" s="787"/>
      <c r="BF37" s="326"/>
      <c r="BG37" s="805"/>
      <c r="BH37" s="787"/>
      <c r="BI37" s="326"/>
      <c r="BJ37" s="805"/>
      <c r="BK37" s="787"/>
      <c r="BL37" s="334"/>
      <c r="BM37" s="796"/>
      <c r="BO37" s="805"/>
      <c r="BP37" s="787"/>
      <c r="BQ37" s="326"/>
      <c r="BR37" s="830"/>
      <c r="BS37" s="787"/>
      <c r="BT37" s="326"/>
      <c r="BU37" s="805"/>
      <c r="BV37" s="787"/>
      <c r="BW37" s="326"/>
      <c r="BX37" s="805"/>
      <c r="BY37" s="787"/>
      <c r="BZ37" s="334"/>
      <c r="CA37" s="796"/>
    </row>
    <row r="38" spans="2:79" ht="15" x14ac:dyDescent="0.2">
      <c r="B38" s="869"/>
      <c r="C38" s="812"/>
      <c r="D38" s="773"/>
      <c r="E38" s="773"/>
      <c r="F38" s="832"/>
      <c r="G38" s="326"/>
      <c r="H38" s="400">
        <f>+'Plan de Accion 2018'!AA16</f>
        <v>0.17572054186308017</v>
      </c>
      <c r="I38" s="337">
        <f>+'Plan de Accion 2018'!BM16</f>
        <v>0.70288216745232068</v>
      </c>
      <c r="J38" s="330">
        <f>+'Plan de Accion 2018'!AF16</f>
        <v>0.12826386165552342</v>
      </c>
      <c r="K38" s="329"/>
      <c r="L38" s="336">
        <f>+'Plan de Accion 2018'!AK16</f>
        <v>0</v>
      </c>
      <c r="M38" s="337">
        <f>+'Plan de Accion 2018'!BO16</f>
        <v>0</v>
      </c>
      <c r="N38" s="338">
        <f>+'Plan de Accion 2018'!AP16</f>
        <v>0.12826386165552342</v>
      </c>
      <c r="O38" s="329"/>
      <c r="P38" s="336">
        <f>+'Plan de Accion 2018'!AU16</f>
        <v>0</v>
      </c>
      <c r="Q38" s="337">
        <f>+'Plan de Accion 2018'!BQ16</f>
        <v>0</v>
      </c>
      <c r="R38" s="338">
        <f>+'Plan de Accion 2018'!AY16</f>
        <v>0.17572054186308017</v>
      </c>
      <c r="S38" s="329"/>
      <c r="T38" s="336">
        <f>+'Plan de Accion 2018'!BE16</f>
        <v>0</v>
      </c>
      <c r="U38" s="337">
        <f>+'Plan de Accion 2018'!BS16</f>
        <v>0</v>
      </c>
      <c r="V38" s="338">
        <f>+'Plan de Accion 2018'!BJ16</f>
        <v>0.12826386165552342</v>
      </c>
      <c r="W38" s="356"/>
      <c r="Y38" s="785"/>
      <c r="Z38" s="785"/>
      <c r="AA38" s="326"/>
      <c r="AB38" s="791"/>
      <c r="AC38" s="785"/>
      <c r="AD38" s="326"/>
      <c r="AE38" s="785"/>
      <c r="AF38" s="785"/>
      <c r="AG38" s="326"/>
      <c r="AH38" s="785"/>
      <c r="AI38" s="785"/>
      <c r="AJ38" s="334"/>
      <c r="AK38" s="357"/>
      <c r="AM38" s="785"/>
      <c r="AN38" s="785"/>
      <c r="AO38" s="326"/>
      <c r="AP38" s="791"/>
      <c r="AQ38" s="785"/>
      <c r="AR38" s="326"/>
      <c r="AS38" s="785"/>
      <c r="AT38" s="785"/>
      <c r="AU38" s="326"/>
      <c r="AV38" s="785"/>
      <c r="AW38" s="785"/>
      <c r="AX38" s="334"/>
      <c r="AY38" s="357"/>
      <c r="BA38" s="785"/>
      <c r="BB38" s="785"/>
      <c r="BC38" s="326"/>
      <c r="BD38" s="791"/>
      <c r="BE38" s="785"/>
      <c r="BF38" s="326"/>
      <c r="BG38" s="785"/>
      <c r="BH38" s="785"/>
      <c r="BI38" s="326"/>
      <c r="BJ38" s="785"/>
      <c r="BK38" s="785"/>
      <c r="BL38" s="334"/>
      <c r="BM38" s="357"/>
      <c r="BO38" s="785"/>
      <c r="BP38" s="785"/>
      <c r="BQ38" s="326"/>
      <c r="BR38" s="791"/>
      <c r="BS38" s="785"/>
      <c r="BT38" s="326"/>
      <c r="BU38" s="785"/>
      <c r="BV38" s="785"/>
      <c r="BW38" s="326"/>
      <c r="BX38" s="785"/>
      <c r="BY38" s="785"/>
      <c r="BZ38" s="334"/>
      <c r="CA38" s="357"/>
    </row>
    <row r="39" spans="2:79" ht="15" x14ac:dyDescent="0.2">
      <c r="B39" s="869"/>
      <c r="C39" s="812"/>
      <c r="D39" s="773"/>
      <c r="E39" s="773"/>
      <c r="F39" s="832"/>
      <c r="G39" s="326"/>
      <c r="H39" s="400">
        <f>+'Plan de Accion 2018'!AA17</f>
        <v>0.48054275674666669</v>
      </c>
      <c r="I39" s="337">
        <f>+'Plan de Accion 2018'!BM17</f>
        <v>1.9221710269866668</v>
      </c>
      <c r="J39" s="330">
        <f>+'Plan de Accion 2018'!AF17</f>
        <v>0.48054275674666669</v>
      </c>
      <c r="K39" s="329"/>
      <c r="L39" s="336">
        <f>+'Plan de Accion 2018'!AK17</f>
        <v>0</v>
      </c>
      <c r="M39" s="337">
        <f>+'Plan de Accion 2018'!BO17</f>
        <v>0</v>
      </c>
      <c r="N39" s="338">
        <f>+'Plan de Accion 2018'!AP17</f>
        <v>0.48054275674666669</v>
      </c>
      <c r="O39" s="329"/>
      <c r="P39" s="336">
        <f>+'Plan de Accion 2018'!AU17</f>
        <v>0</v>
      </c>
      <c r="Q39" s="337">
        <f>+'Plan de Accion 2018'!BQ17</f>
        <v>0</v>
      </c>
      <c r="R39" s="338">
        <f>+'Plan de Accion 2018'!AZ17</f>
        <v>0.48054275674666669</v>
      </c>
      <c r="S39" s="329"/>
      <c r="T39" s="336">
        <f>+'Plan de Accion 2018'!BE17</f>
        <v>0</v>
      </c>
      <c r="U39" s="337">
        <f>+'Plan de Accion 2018'!BS17</f>
        <v>0</v>
      </c>
      <c r="V39" s="338">
        <f>+'Plan de Accion 2018'!BJ17</f>
        <v>0.48054275674666669</v>
      </c>
      <c r="W39" s="358"/>
      <c r="Y39" s="786"/>
      <c r="Z39" s="786"/>
      <c r="AA39" s="326"/>
      <c r="AB39" s="792"/>
      <c r="AC39" s="786"/>
      <c r="AD39" s="326"/>
      <c r="AE39" s="786"/>
      <c r="AF39" s="786"/>
      <c r="AG39" s="326"/>
      <c r="AH39" s="786"/>
      <c r="AI39" s="786"/>
      <c r="AJ39" s="334"/>
      <c r="AK39" s="359"/>
      <c r="AM39" s="786"/>
      <c r="AN39" s="786"/>
      <c r="AO39" s="326"/>
      <c r="AP39" s="792"/>
      <c r="AQ39" s="786"/>
      <c r="AR39" s="326"/>
      <c r="AS39" s="786"/>
      <c r="AT39" s="786"/>
      <c r="AU39" s="326"/>
      <c r="AV39" s="786"/>
      <c r="AW39" s="786"/>
      <c r="AX39" s="334"/>
      <c r="AY39" s="359"/>
      <c r="BA39" s="786"/>
      <c r="BB39" s="786"/>
      <c r="BC39" s="326"/>
      <c r="BD39" s="792"/>
      <c r="BE39" s="786"/>
      <c r="BF39" s="326"/>
      <c r="BG39" s="786"/>
      <c r="BH39" s="786"/>
      <c r="BI39" s="326"/>
      <c r="BJ39" s="786"/>
      <c r="BK39" s="786"/>
      <c r="BL39" s="334"/>
      <c r="BM39" s="359"/>
      <c r="BO39" s="786"/>
      <c r="BP39" s="786"/>
      <c r="BQ39" s="326"/>
      <c r="BR39" s="792"/>
      <c r="BS39" s="786"/>
      <c r="BT39" s="326"/>
      <c r="BU39" s="786"/>
      <c r="BV39" s="786"/>
      <c r="BW39" s="326"/>
      <c r="BX39" s="786"/>
      <c r="BY39" s="786"/>
      <c r="BZ39" s="334"/>
      <c r="CA39" s="359"/>
    </row>
    <row r="40" spans="2:79" ht="15.75" thickBot="1" x14ac:dyDescent="0.25">
      <c r="B40" s="869"/>
      <c r="C40" s="812"/>
      <c r="D40" s="773"/>
      <c r="E40" s="773"/>
      <c r="F40" s="832"/>
      <c r="G40" s="326"/>
      <c r="H40" s="400">
        <f>+'Plan de Accion 2018'!AA18</f>
        <v>0.21990997899772854</v>
      </c>
      <c r="I40" s="337">
        <f>+'Plan de Accion 2018'!BM18</f>
        <v>0.87963991599091418</v>
      </c>
      <c r="J40" s="330">
        <f>+'Plan de Accion 2018'!AF18</f>
        <v>0.21990997899772854</v>
      </c>
      <c r="K40" s="329"/>
      <c r="L40" s="336">
        <f>+'Plan de Accion 2018'!AK18</f>
        <v>0</v>
      </c>
      <c r="M40" s="337">
        <f>+'Plan de Accion 2018'!BO18</f>
        <v>0</v>
      </c>
      <c r="N40" s="338">
        <f>+'Plan de Accion 2018'!AP18</f>
        <v>0.21990997899772854</v>
      </c>
      <c r="O40" s="329"/>
      <c r="P40" s="336">
        <f>+'Plan de Accion 2018'!AU18</f>
        <v>0</v>
      </c>
      <c r="Q40" s="337">
        <f>+'Plan de Accion 2018'!BQ18</f>
        <v>0</v>
      </c>
      <c r="R40" s="338">
        <f>+'Plan de Accion 2018'!AZ18</f>
        <v>0.21990997899772854</v>
      </c>
      <c r="S40" s="329"/>
      <c r="T40" s="336">
        <f>+'Plan de Accion 2018'!BE18</f>
        <v>0</v>
      </c>
      <c r="U40" s="337">
        <f>+'Plan de Accion 2018'!BS18</f>
        <v>0</v>
      </c>
      <c r="V40" s="338">
        <f>+'Plan de Accion 2018'!BJ18</f>
        <v>0.21990997899772854</v>
      </c>
      <c r="W40" s="360"/>
      <c r="Y40" s="787"/>
      <c r="Z40" s="787"/>
      <c r="AA40" s="326"/>
      <c r="AB40" s="793"/>
      <c r="AC40" s="787"/>
      <c r="AD40" s="326"/>
      <c r="AE40" s="787"/>
      <c r="AF40" s="787"/>
      <c r="AG40" s="326"/>
      <c r="AH40" s="787"/>
      <c r="AI40" s="787"/>
      <c r="AJ40" s="334"/>
      <c r="AK40" s="361"/>
      <c r="AM40" s="787"/>
      <c r="AN40" s="787"/>
      <c r="AO40" s="326"/>
      <c r="AP40" s="793"/>
      <c r="AQ40" s="787"/>
      <c r="AR40" s="326"/>
      <c r="AS40" s="787"/>
      <c r="AT40" s="787"/>
      <c r="AU40" s="326"/>
      <c r="AV40" s="787"/>
      <c r="AW40" s="787"/>
      <c r="AX40" s="334"/>
      <c r="AY40" s="361"/>
      <c r="BA40" s="787"/>
      <c r="BB40" s="787"/>
      <c r="BC40" s="326"/>
      <c r="BD40" s="793"/>
      <c r="BE40" s="787"/>
      <c r="BF40" s="326"/>
      <c r="BG40" s="787"/>
      <c r="BH40" s="787"/>
      <c r="BI40" s="326"/>
      <c r="BJ40" s="787"/>
      <c r="BK40" s="787"/>
      <c r="BL40" s="334"/>
      <c r="BM40" s="361"/>
      <c r="BO40" s="787"/>
      <c r="BP40" s="787"/>
      <c r="BQ40" s="326"/>
      <c r="BR40" s="793"/>
      <c r="BS40" s="787"/>
      <c r="BT40" s="326"/>
      <c r="BU40" s="787"/>
      <c r="BV40" s="787"/>
      <c r="BW40" s="326"/>
      <c r="BX40" s="787"/>
      <c r="BY40" s="787"/>
      <c r="BZ40" s="334"/>
      <c r="CA40" s="361"/>
    </row>
    <row r="41" spans="2:79" ht="15" x14ac:dyDescent="0.2">
      <c r="B41" s="869"/>
      <c r="C41" s="812"/>
      <c r="D41" s="773"/>
      <c r="E41" s="773"/>
      <c r="F41" s="832"/>
      <c r="G41" s="326"/>
      <c r="H41" s="400">
        <f>+'Plan de Accion 2018'!AA19</f>
        <v>0.25406609209837994</v>
      </c>
      <c r="I41" s="337">
        <f>+'Plan de Accion 2018'!BM19</f>
        <v>1.0162643683935197</v>
      </c>
      <c r="J41" s="330">
        <f>+'Plan de Accion 2018'!AF19</f>
        <v>0.26601740978213445</v>
      </c>
      <c r="K41" s="329"/>
      <c r="L41" s="336">
        <f>+'Plan de Accion 2018'!AK19</f>
        <v>0</v>
      </c>
      <c r="M41" s="337">
        <f>+'Plan de Accion 2018'!BO19</f>
        <v>0</v>
      </c>
      <c r="N41" s="338">
        <f>+'Plan de Accion 2018'!AP19</f>
        <v>0.26601740978213445</v>
      </c>
      <c r="O41" s="329"/>
      <c r="P41" s="336">
        <f>+'Plan de Accion 2018'!AU19</f>
        <v>0</v>
      </c>
      <c r="Q41" s="337">
        <f>+'Plan de Accion 2018'!BQ19</f>
        <v>0</v>
      </c>
      <c r="R41" s="338">
        <f>+'Plan de Accion 2018'!AZ19</f>
        <v>0.26601740978213445</v>
      </c>
      <c r="S41" s="329"/>
      <c r="T41" s="336">
        <f>+'Plan de Accion 2018'!BE19</f>
        <v>0</v>
      </c>
      <c r="U41" s="337">
        <f>+'Plan de Accion 2018'!BS19</f>
        <v>0</v>
      </c>
      <c r="V41" s="338">
        <f>+'Plan de Accion 2018'!BJ19</f>
        <v>0.26601740978213445</v>
      </c>
      <c r="W41" s="356"/>
      <c r="Y41" s="362"/>
      <c r="Z41" s="362"/>
      <c r="AA41" s="326"/>
      <c r="AB41" s="363"/>
      <c r="AC41" s="362"/>
      <c r="AD41" s="326"/>
      <c r="AE41" s="362"/>
      <c r="AF41" s="362"/>
      <c r="AG41" s="326"/>
      <c r="AH41" s="362"/>
      <c r="AI41" s="362"/>
      <c r="AJ41" s="334"/>
      <c r="AK41" s="359"/>
      <c r="AM41" s="362"/>
      <c r="AN41" s="362"/>
      <c r="AO41" s="326"/>
      <c r="AP41" s="363"/>
      <c r="AQ41" s="362"/>
      <c r="AR41" s="326"/>
      <c r="AS41" s="362"/>
      <c r="AT41" s="362"/>
      <c r="AU41" s="326"/>
      <c r="AV41" s="362"/>
      <c r="AW41" s="362"/>
      <c r="AX41" s="334"/>
      <c r="AY41" s="359"/>
      <c r="BA41" s="362"/>
      <c r="BB41" s="362"/>
      <c r="BC41" s="326"/>
      <c r="BD41" s="363"/>
      <c r="BE41" s="362"/>
      <c r="BF41" s="326"/>
      <c r="BG41" s="362"/>
      <c r="BH41" s="362"/>
      <c r="BI41" s="326"/>
      <c r="BJ41" s="362"/>
      <c r="BK41" s="362"/>
      <c r="BL41" s="334"/>
      <c r="BM41" s="359"/>
      <c r="BO41" s="362"/>
      <c r="BP41" s="362"/>
      <c r="BQ41" s="326"/>
      <c r="BR41" s="363"/>
      <c r="BS41" s="362"/>
      <c r="BT41" s="326"/>
      <c r="BU41" s="362"/>
      <c r="BV41" s="362"/>
      <c r="BW41" s="326"/>
      <c r="BX41" s="362"/>
      <c r="BY41" s="362"/>
      <c r="BZ41" s="334"/>
      <c r="CA41" s="359"/>
    </row>
    <row r="42" spans="2:79" ht="15" x14ac:dyDescent="0.2">
      <c r="B42" s="869"/>
      <c r="C42" s="812"/>
      <c r="D42" s="773"/>
      <c r="E42" s="773"/>
      <c r="F42" s="832"/>
      <c r="G42" s="326"/>
      <c r="H42" s="400">
        <f>+'Plan de Accion 2018'!AA20</f>
        <v>1.2711216975E-2</v>
      </c>
      <c r="I42" s="337">
        <f>+'Plan de Accion 2018'!BM20</f>
        <v>5.08448679E-2</v>
      </c>
      <c r="J42" s="330">
        <f>+'Plan de Accion 2018'!AF20</f>
        <v>1.2711216975E-2</v>
      </c>
      <c r="K42" s="329"/>
      <c r="L42" s="336">
        <f>+'Plan de Accion 2018'!AK20</f>
        <v>0</v>
      </c>
      <c r="M42" s="337">
        <f>+'Plan de Accion 2018'!BO20</f>
        <v>0</v>
      </c>
      <c r="N42" s="338">
        <f>+'Plan de Accion 2018'!AP20</f>
        <v>1.2711216975E-2</v>
      </c>
      <c r="O42" s="329"/>
      <c r="P42" s="336">
        <f>+'Plan de Accion 2018'!AU20</f>
        <v>0</v>
      </c>
      <c r="Q42" s="337">
        <f>+'Plan de Accion 2018'!BQ20</f>
        <v>0</v>
      </c>
      <c r="R42" s="338">
        <f>+'Plan de Accion 2018'!AZ20</f>
        <v>1.2711216975E-2</v>
      </c>
      <c r="S42" s="329"/>
      <c r="T42" s="336">
        <f>+'Plan de Accion 2018'!BE20</f>
        <v>0</v>
      </c>
      <c r="U42" s="337">
        <f>+'Plan de Accion 2018'!BS20</f>
        <v>0</v>
      </c>
      <c r="V42" s="338">
        <f>+'Plan de Accion 2018'!BJ20</f>
        <v>1.2711216975E-2</v>
      </c>
      <c r="W42" s="358"/>
      <c r="Y42" s="362"/>
      <c r="Z42" s="362"/>
      <c r="AA42" s="326"/>
      <c r="AB42" s="363"/>
      <c r="AC42" s="362"/>
      <c r="AD42" s="326"/>
      <c r="AE42" s="362"/>
      <c r="AF42" s="362"/>
      <c r="AG42" s="326"/>
      <c r="AH42" s="362"/>
      <c r="AI42" s="362"/>
      <c r="AJ42" s="334"/>
      <c r="AK42" s="359"/>
      <c r="AM42" s="362"/>
      <c r="AN42" s="362"/>
      <c r="AO42" s="326"/>
      <c r="AP42" s="363"/>
      <c r="AQ42" s="362"/>
      <c r="AR42" s="326"/>
      <c r="AS42" s="362"/>
      <c r="AT42" s="362"/>
      <c r="AU42" s="326"/>
      <c r="AV42" s="362"/>
      <c r="AW42" s="362"/>
      <c r="AX42" s="334"/>
      <c r="AY42" s="359"/>
      <c r="BA42" s="362"/>
      <c r="BB42" s="362"/>
      <c r="BC42" s="326"/>
      <c r="BD42" s="363"/>
      <c r="BE42" s="362"/>
      <c r="BF42" s="326"/>
      <c r="BG42" s="362"/>
      <c r="BH42" s="362"/>
      <c r="BI42" s="326"/>
      <c r="BJ42" s="362"/>
      <c r="BK42" s="362"/>
      <c r="BL42" s="334"/>
      <c r="BM42" s="359"/>
      <c r="BO42" s="362"/>
      <c r="BP42" s="362"/>
      <c r="BQ42" s="326"/>
      <c r="BR42" s="363"/>
      <c r="BS42" s="362"/>
      <c r="BT42" s="326"/>
      <c r="BU42" s="362"/>
      <c r="BV42" s="362"/>
      <c r="BW42" s="326"/>
      <c r="BX42" s="362"/>
      <c r="BY42" s="362"/>
      <c r="BZ42" s="334"/>
      <c r="CA42" s="359"/>
    </row>
    <row r="43" spans="2:79" ht="15.75" thickBot="1" x14ac:dyDescent="0.25">
      <c r="B43" s="869"/>
      <c r="C43" s="812"/>
      <c r="D43" s="773"/>
      <c r="E43" s="773"/>
      <c r="F43" s="832"/>
      <c r="G43" s="326"/>
      <c r="H43" s="400">
        <f>+'Plan de Accion 2018'!AA21</f>
        <v>0</v>
      </c>
      <c r="I43" s="337">
        <f>+'Plan de Accion 2018'!BM21</f>
        <v>0</v>
      </c>
      <c r="J43" s="330">
        <f>+'Plan de Accion 2018'!AF21</f>
        <v>0</v>
      </c>
      <c r="K43" s="329"/>
      <c r="L43" s="336">
        <f>+'Plan de Accion 2018'!AK21</f>
        <v>0</v>
      </c>
      <c r="M43" s="337">
        <f>+'Plan de Accion 2018'!BO21</f>
        <v>0</v>
      </c>
      <c r="N43" s="338">
        <f>+'Plan de Accion 2018'!AP21</f>
        <v>0</v>
      </c>
      <c r="O43" s="329"/>
      <c r="P43" s="336">
        <f>+'Plan de Accion 2018'!AU21</f>
        <v>0</v>
      </c>
      <c r="Q43" s="337">
        <f>+'Plan de Accion 2018'!BQ21</f>
        <v>0</v>
      </c>
      <c r="R43" s="338">
        <f>+'Plan de Accion 2018'!AZ21</f>
        <v>0</v>
      </c>
      <c r="S43" s="329"/>
      <c r="T43" s="336">
        <f>+'Plan de Accion 2018'!BE21</f>
        <v>0</v>
      </c>
      <c r="U43" s="337">
        <f>+'Plan de Accion 2018'!BS21</f>
        <v>0</v>
      </c>
      <c r="V43" s="338">
        <f>+'Plan de Accion 2018'!BJ21</f>
        <v>0</v>
      </c>
      <c r="W43" s="360"/>
      <c r="Y43" s="362"/>
      <c r="Z43" s="362"/>
      <c r="AA43" s="326"/>
      <c r="AB43" s="363"/>
      <c r="AC43" s="362"/>
      <c r="AD43" s="326"/>
      <c r="AE43" s="362"/>
      <c r="AF43" s="362"/>
      <c r="AG43" s="326"/>
      <c r="AH43" s="362"/>
      <c r="AI43" s="362"/>
      <c r="AJ43" s="334"/>
      <c r="AK43" s="359"/>
      <c r="AM43" s="362"/>
      <c r="AN43" s="362"/>
      <c r="AO43" s="326"/>
      <c r="AP43" s="363"/>
      <c r="AQ43" s="362"/>
      <c r="AR43" s="326"/>
      <c r="AS43" s="362"/>
      <c r="AT43" s="362"/>
      <c r="AU43" s="326"/>
      <c r="AV43" s="362"/>
      <c r="AW43" s="362"/>
      <c r="AX43" s="334"/>
      <c r="AY43" s="359"/>
      <c r="BA43" s="362"/>
      <c r="BB43" s="362"/>
      <c r="BC43" s="326"/>
      <c r="BD43" s="363"/>
      <c r="BE43" s="362"/>
      <c r="BF43" s="326"/>
      <c r="BG43" s="362"/>
      <c r="BH43" s="362"/>
      <c r="BI43" s="326"/>
      <c r="BJ43" s="362"/>
      <c r="BK43" s="362"/>
      <c r="BL43" s="334"/>
      <c r="BM43" s="359"/>
      <c r="BO43" s="362"/>
      <c r="BP43" s="362"/>
      <c r="BQ43" s="326"/>
      <c r="BR43" s="363"/>
      <c r="BS43" s="362"/>
      <c r="BT43" s="326"/>
      <c r="BU43" s="362"/>
      <c r="BV43" s="362"/>
      <c r="BW43" s="326"/>
      <c r="BX43" s="362"/>
      <c r="BY43" s="362"/>
      <c r="BZ43" s="334"/>
      <c r="CA43" s="359"/>
    </row>
    <row r="44" spans="2:79" ht="15" x14ac:dyDescent="0.2">
      <c r="B44" s="869"/>
      <c r="C44" s="812"/>
      <c r="D44" s="773"/>
      <c r="E44" s="773"/>
      <c r="F44" s="832"/>
      <c r="G44" s="326"/>
      <c r="H44" s="400">
        <f>+'Plan de Accion 2018'!AA22</f>
        <v>0.24380171399700623</v>
      </c>
      <c r="I44" s="337">
        <f>+'Plan de Accion 2018'!BM22</f>
        <v>0.97520685598802492</v>
      </c>
      <c r="J44" s="330">
        <f>+'Plan de Accion 2018'!AF22</f>
        <v>0.24380171399700623</v>
      </c>
      <c r="K44" s="329"/>
      <c r="L44" s="336">
        <f>+'Plan de Accion 2018'!AK22</f>
        <v>0</v>
      </c>
      <c r="M44" s="337">
        <f>+'Plan de Accion 2018'!BO22</f>
        <v>0</v>
      </c>
      <c r="N44" s="338">
        <f>+'Plan de Accion 2018'!AP22</f>
        <v>0.24380171399700623</v>
      </c>
      <c r="O44" s="329"/>
      <c r="P44" s="336">
        <f>+'Plan de Accion 2018'!AU22</f>
        <v>0</v>
      </c>
      <c r="Q44" s="337">
        <f>+'Plan de Accion 2018'!BQ22</f>
        <v>0</v>
      </c>
      <c r="R44" s="338">
        <f>+'Plan de Accion 2018'!AZ22</f>
        <v>0.24380171399700623</v>
      </c>
      <c r="S44" s="329"/>
      <c r="T44" s="336">
        <f>+'Plan de Accion 2018'!BE22</f>
        <v>0</v>
      </c>
      <c r="U44" s="337">
        <f>+'Plan de Accion 2018'!BS22</f>
        <v>0</v>
      </c>
      <c r="V44" s="338">
        <f>+'Plan de Accion 2018'!BJ22</f>
        <v>0.24380171399700623</v>
      </c>
      <c r="W44" s="356"/>
      <c r="Y44" s="362"/>
      <c r="Z44" s="362"/>
      <c r="AA44" s="326"/>
      <c r="AB44" s="363"/>
      <c r="AC44" s="362"/>
      <c r="AD44" s="326"/>
      <c r="AE44" s="362"/>
      <c r="AF44" s="362"/>
      <c r="AG44" s="326"/>
      <c r="AH44" s="362"/>
      <c r="AI44" s="362"/>
      <c r="AJ44" s="334"/>
      <c r="AK44" s="359"/>
      <c r="AM44" s="362"/>
      <c r="AN44" s="362"/>
      <c r="AO44" s="326"/>
      <c r="AP44" s="363"/>
      <c r="AQ44" s="362"/>
      <c r="AR44" s="326"/>
      <c r="AS44" s="362"/>
      <c r="AT44" s="362"/>
      <c r="AU44" s="326"/>
      <c r="AV44" s="362"/>
      <c r="AW44" s="362"/>
      <c r="AX44" s="334"/>
      <c r="AY44" s="359"/>
      <c r="BA44" s="362"/>
      <c r="BB44" s="362"/>
      <c r="BC44" s="326"/>
      <c r="BD44" s="363"/>
      <c r="BE44" s="362"/>
      <c r="BF44" s="326"/>
      <c r="BG44" s="362"/>
      <c r="BH44" s="362"/>
      <c r="BI44" s="326"/>
      <c r="BJ44" s="362"/>
      <c r="BK44" s="362"/>
      <c r="BL44" s="334"/>
      <c r="BM44" s="359"/>
      <c r="BO44" s="362"/>
      <c r="BP44" s="362"/>
      <c r="BQ44" s="326"/>
      <c r="BR44" s="363"/>
      <c r="BS44" s="362"/>
      <c r="BT44" s="326"/>
      <c r="BU44" s="362"/>
      <c r="BV44" s="362"/>
      <c r="BW44" s="326"/>
      <c r="BX44" s="362"/>
      <c r="BY44" s="362"/>
      <c r="BZ44" s="334"/>
      <c r="CA44" s="359"/>
    </row>
    <row r="45" spans="2:79" ht="15" x14ac:dyDescent="0.2">
      <c r="B45" s="869"/>
      <c r="C45" s="812"/>
      <c r="D45" s="773"/>
      <c r="E45" s="773"/>
      <c r="F45" s="832"/>
      <c r="G45" s="326"/>
      <c r="H45" s="400">
        <f>+'Plan de Accion 2018'!AA23</f>
        <v>0.25892237729684275</v>
      </c>
      <c r="I45" s="337">
        <f>+'Plan de Accion 2018'!BM23</f>
        <v>1.035689509187371</v>
      </c>
      <c r="J45" s="330">
        <f>+'Plan de Accion 2018'!AF23</f>
        <v>0.25892237729684275</v>
      </c>
      <c r="K45" s="329"/>
      <c r="L45" s="336">
        <f>+'Plan de Accion 2018'!AK23</f>
        <v>0</v>
      </c>
      <c r="M45" s="337">
        <f>+'Plan de Accion 2018'!BO23</f>
        <v>0</v>
      </c>
      <c r="N45" s="338">
        <f>+'Plan de Accion 2018'!AP23</f>
        <v>0.25892237729684275</v>
      </c>
      <c r="O45" s="329"/>
      <c r="P45" s="336">
        <f>+'Plan de Accion 2018'!AU23</f>
        <v>0</v>
      </c>
      <c r="Q45" s="337">
        <f>+'Plan de Accion 2018'!BQ23</f>
        <v>0</v>
      </c>
      <c r="R45" s="338">
        <f>+'Plan de Accion 2018'!AZ23</f>
        <v>0.25892237729684275</v>
      </c>
      <c r="S45" s="329"/>
      <c r="T45" s="336">
        <f>+'Plan de Accion 2018'!BE23</f>
        <v>0</v>
      </c>
      <c r="U45" s="337">
        <f>+'Plan de Accion 2018'!BS23</f>
        <v>0</v>
      </c>
      <c r="V45" s="338">
        <f>+'Plan de Accion 2018'!BJ23</f>
        <v>0.25892237729684275</v>
      </c>
      <c r="W45" s="358"/>
      <c r="Y45" s="362"/>
      <c r="Z45" s="362"/>
      <c r="AA45" s="326"/>
      <c r="AB45" s="363"/>
      <c r="AC45" s="362"/>
      <c r="AD45" s="326"/>
      <c r="AE45" s="362"/>
      <c r="AF45" s="362"/>
      <c r="AG45" s="326"/>
      <c r="AH45" s="362"/>
      <c r="AI45" s="362"/>
      <c r="AJ45" s="334"/>
      <c r="AK45" s="359"/>
      <c r="AM45" s="362"/>
      <c r="AN45" s="362"/>
      <c r="AO45" s="326"/>
      <c r="AP45" s="363"/>
      <c r="AQ45" s="362"/>
      <c r="AR45" s="326"/>
      <c r="AS45" s="362"/>
      <c r="AT45" s="362"/>
      <c r="AU45" s="326"/>
      <c r="AV45" s="362"/>
      <c r="AW45" s="362"/>
      <c r="AX45" s="334"/>
      <c r="AY45" s="359"/>
      <c r="BA45" s="362"/>
      <c r="BB45" s="362"/>
      <c r="BC45" s="326"/>
      <c r="BD45" s="363"/>
      <c r="BE45" s="362"/>
      <c r="BF45" s="326"/>
      <c r="BG45" s="362"/>
      <c r="BH45" s="362"/>
      <c r="BI45" s="326"/>
      <c r="BJ45" s="362"/>
      <c r="BK45" s="362"/>
      <c r="BL45" s="334"/>
      <c r="BM45" s="359"/>
      <c r="BO45" s="362"/>
      <c r="BP45" s="362"/>
      <c r="BQ45" s="326"/>
      <c r="BR45" s="363"/>
      <c r="BS45" s="362"/>
      <c r="BT45" s="326"/>
      <c r="BU45" s="362"/>
      <c r="BV45" s="362"/>
      <c r="BW45" s="326"/>
      <c r="BX45" s="362"/>
      <c r="BY45" s="362"/>
      <c r="BZ45" s="334"/>
      <c r="CA45" s="359"/>
    </row>
    <row r="46" spans="2:79" ht="15.75" thickBot="1" x14ac:dyDescent="0.25">
      <c r="B46" s="869"/>
      <c r="C46" s="812"/>
      <c r="D46" s="773"/>
      <c r="E46" s="773"/>
      <c r="F46" s="832"/>
      <c r="G46" s="326"/>
      <c r="H46" s="400">
        <f>+'Plan de Accion 2018'!AA24</f>
        <v>0.25045429000543146</v>
      </c>
      <c r="I46" s="337">
        <f>+'Plan de Accion 2018'!BM24</f>
        <v>1.0018171600217258</v>
      </c>
      <c r="J46" s="330">
        <f>+'Plan de Accion 2018'!AF24</f>
        <v>0.25045429000543146</v>
      </c>
      <c r="K46" s="329"/>
      <c r="L46" s="336">
        <f>+'Plan de Accion 2018'!AK24</f>
        <v>0</v>
      </c>
      <c r="M46" s="337">
        <f>+'Plan de Accion 2018'!BO24</f>
        <v>0</v>
      </c>
      <c r="N46" s="338">
        <f>+'Plan de Accion 2018'!AP24</f>
        <v>0.25045429000543146</v>
      </c>
      <c r="O46" s="329"/>
      <c r="P46" s="336">
        <f>+'Plan de Accion 2018'!AU24</f>
        <v>0</v>
      </c>
      <c r="Q46" s="337">
        <f>+'Plan de Accion 2018'!BQ24</f>
        <v>0</v>
      </c>
      <c r="R46" s="338">
        <f>+'Plan de Accion 2018'!AZ24</f>
        <v>0.25045429000543146</v>
      </c>
      <c r="S46" s="329"/>
      <c r="T46" s="336">
        <f>+'Plan de Accion 2018'!BE24</f>
        <v>0</v>
      </c>
      <c r="U46" s="337">
        <f>+'Plan de Accion 2018'!BS24</f>
        <v>0</v>
      </c>
      <c r="V46" s="338">
        <f>+'Plan de Accion 2018'!BJ24</f>
        <v>0.25045429000543146</v>
      </c>
      <c r="W46" s="360"/>
      <c r="Y46" s="362"/>
      <c r="Z46" s="362"/>
      <c r="AA46" s="326"/>
      <c r="AB46" s="363"/>
      <c r="AC46" s="362"/>
      <c r="AD46" s="326"/>
      <c r="AE46" s="362"/>
      <c r="AF46" s="362"/>
      <c r="AG46" s="326"/>
      <c r="AH46" s="362"/>
      <c r="AI46" s="362"/>
      <c r="AJ46" s="334"/>
      <c r="AK46" s="359"/>
      <c r="AM46" s="362"/>
      <c r="AN46" s="362"/>
      <c r="AO46" s="326"/>
      <c r="AP46" s="363"/>
      <c r="AQ46" s="362"/>
      <c r="AR46" s="326"/>
      <c r="AS46" s="362"/>
      <c r="AT46" s="362"/>
      <c r="AU46" s="326"/>
      <c r="AV46" s="362"/>
      <c r="AW46" s="362"/>
      <c r="AX46" s="334"/>
      <c r="AY46" s="359"/>
      <c r="BA46" s="362"/>
      <c r="BB46" s="362"/>
      <c r="BC46" s="326"/>
      <c r="BD46" s="363"/>
      <c r="BE46" s="362"/>
      <c r="BF46" s="326"/>
      <c r="BG46" s="362"/>
      <c r="BH46" s="362"/>
      <c r="BI46" s="326"/>
      <c r="BJ46" s="362"/>
      <c r="BK46" s="362"/>
      <c r="BL46" s="334"/>
      <c r="BM46" s="359"/>
      <c r="BO46" s="362"/>
      <c r="BP46" s="362"/>
      <c r="BQ46" s="326"/>
      <c r="BR46" s="363"/>
      <c r="BS46" s="362"/>
      <c r="BT46" s="326"/>
      <c r="BU46" s="362"/>
      <c r="BV46" s="362"/>
      <c r="BW46" s="326"/>
      <c r="BX46" s="362"/>
      <c r="BY46" s="362"/>
      <c r="BZ46" s="334"/>
      <c r="CA46" s="359"/>
    </row>
    <row r="47" spans="2:79" ht="15" x14ac:dyDescent="0.2">
      <c r="B47" s="869"/>
      <c r="C47" s="812"/>
      <c r="D47" s="773"/>
      <c r="E47" s="773"/>
      <c r="F47" s="832"/>
      <c r="G47" s="326"/>
      <c r="H47" s="400">
        <f>+'Plan de Accion 2018'!AA25</f>
        <v>0.42038601666666664</v>
      </c>
      <c r="I47" s="337">
        <f>+'Plan de Accion 2018'!BM25</f>
        <v>1.6815440666666666</v>
      </c>
      <c r="J47" s="330">
        <f>+'Plan de Accion 2018'!AF25</f>
        <v>0.42038601666666664</v>
      </c>
      <c r="K47" s="329"/>
      <c r="L47" s="336">
        <f>+'Plan de Accion 2018'!AK25</f>
        <v>0</v>
      </c>
      <c r="M47" s="337">
        <f>+'Plan de Accion 2018'!BO25</f>
        <v>0</v>
      </c>
      <c r="N47" s="338">
        <f>+'Plan de Accion 2018'!AP25</f>
        <v>0.42038601666666664</v>
      </c>
      <c r="O47" s="329"/>
      <c r="P47" s="336">
        <f>+'Plan de Accion 2018'!AU25</f>
        <v>0</v>
      </c>
      <c r="Q47" s="337">
        <f>+'Plan de Accion 2018'!BQ25</f>
        <v>0</v>
      </c>
      <c r="R47" s="338">
        <f>+'Plan de Accion 2018'!AZ25</f>
        <v>0.42038601666666664</v>
      </c>
      <c r="S47" s="329"/>
      <c r="T47" s="336">
        <f>+'Plan de Accion 2018'!BE25</f>
        <v>0</v>
      </c>
      <c r="U47" s="337">
        <f>+'Plan de Accion 2018'!BS25</f>
        <v>0</v>
      </c>
      <c r="V47" s="338">
        <f>+'Plan de Accion 2018'!BJ25</f>
        <v>0.42038601666666664</v>
      </c>
      <c r="W47" s="356"/>
      <c r="Y47" s="362"/>
      <c r="Z47" s="362"/>
      <c r="AA47" s="326"/>
      <c r="AB47" s="363"/>
      <c r="AC47" s="362"/>
      <c r="AD47" s="326"/>
      <c r="AE47" s="362"/>
      <c r="AF47" s="362"/>
      <c r="AG47" s="326"/>
      <c r="AH47" s="362"/>
      <c r="AI47" s="362"/>
      <c r="AJ47" s="334"/>
      <c r="AK47" s="359"/>
      <c r="AM47" s="362"/>
      <c r="AN47" s="362"/>
      <c r="AO47" s="326"/>
      <c r="AP47" s="363"/>
      <c r="AQ47" s="362"/>
      <c r="AR47" s="326"/>
      <c r="AS47" s="362"/>
      <c r="AT47" s="362"/>
      <c r="AU47" s="326"/>
      <c r="AV47" s="362"/>
      <c r="AW47" s="362"/>
      <c r="AX47" s="334"/>
      <c r="AY47" s="359"/>
      <c r="BA47" s="362"/>
      <c r="BB47" s="362"/>
      <c r="BC47" s="326"/>
      <c r="BD47" s="363"/>
      <c r="BE47" s="362"/>
      <c r="BF47" s="326"/>
      <c r="BG47" s="362"/>
      <c r="BH47" s="362"/>
      <c r="BI47" s="326"/>
      <c r="BJ47" s="362"/>
      <c r="BK47" s="362"/>
      <c r="BL47" s="334"/>
      <c r="BM47" s="359"/>
      <c r="BO47" s="362"/>
      <c r="BP47" s="362"/>
      <c r="BQ47" s="326"/>
      <c r="BR47" s="363"/>
      <c r="BS47" s="362"/>
      <c r="BT47" s="326"/>
      <c r="BU47" s="362"/>
      <c r="BV47" s="362"/>
      <c r="BW47" s="326"/>
      <c r="BX47" s="362"/>
      <c r="BY47" s="362"/>
      <c r="BZ47" s="334"/>
      <c r="CA47" s="359"/>
    </row>
    <row r="48" spans="2:79" ht="15" x14ac:dyDescent="0.2">
      <c r="B48" s="869"/>
      <c r="C48" s="812"/>
      <c r="D48" s="773"/>
      <c r="E48" s="773"/>
      <c r="F48" s="832"/>
      <c r="G48" s="326"/>
      <c r="H48" s="400">
        <f>+'Plan de Accion 2018'!AA26</f>
        <v>0.24873164869078085</v>
      </c>
      <c r="I48" s="337">
        <f>+'Plan de Accion 2018'!BM26</f>
        <v>0.9949265947631234</v>
      </c>
      <c r="J48" s="330">
        <f>+'Plan de Accion 2018'!AF26</f>
        <v>0.25439677200358241</v>
      </c>
      <c r="K48" s="329"/>
      <c r="L48" s="336">
        <f>+'Plan de Accion 2018'!AK26</f>
        <v>0</v>
      </c>
      <c r="M48" s="337">
        <f>+'Plan de Accion 2018'!BO26</f>
        <v>0</v>
      </c>
      <c r="N48" s="338">
        <f>+'Plan de Accion 2018'!AP26</f>
        <v>0.25439677200358241</v>
      </c>
      <c r="O48" s="329"/>
      <c r="P48" s="336">
        <f>+'Plan de Accion 2018'!AU26</f>
        <v>0</v>
      </c>
      <c r="Q48" s="337">
        <f>+'Plan de Accion 2018'!BQ26</f>
        <v>0</v>
      </c>
      <c r="R48" s="338">
        <f>+'Plan de Accion 2018'!AZ26</f>
        <v>0.25439677200358241</v>
      </c>
      <c r="S48" s="329"/>
      <c r="T48" s="336">
        <f>+'Plan de Accion 2018'!BE26</f>
        <v>0</v>
      </c>
      <c r="U48" s="337">
        <f>+'Plan de Accion 2018'!BS26</f>
        <v>0</v>
      </c>
      <c r="V48" s="338">
        <f>+'Plan de Accion 2018'!BJ26</f>
        <v>0.25439677200358241</v>
      </c>
      <c r="W48" s="358"/>
      <c r="Y48" s="362"/>
      <c r="Z48" s="362"/>
      <c r="AA48" s="326"/>
      <c r="AB48" s="363"/>
      <c r="AC48" s="362"/>
      <c r="AD48" s="326"/>
      <c r="AE48" s="362"/>
      <c r="AF48" s="362"/>
      <c r="AG48" s="326"/>
      <c r="AH48" s="362"/>
      <c r="AI48" s="362"/>
      <c r="AJ48" s="334"/>
      <c r="AK48" s="359"/>
      <c r="AM48" s="362"/>
      <c r="AN48" s="362"/>
      <c r="AO48" s="326"/>
      <c r="AP48" s="363"/>
      <c r="AQ48" s="362"/>
      <c r="AR48" s="326"/>
      <c r="AS48" s="362"/>
      <c r="AT48" s="362"/>
      <c r="AU48" s="326"/>
      <c r="AV48" s="362"/>
      <c r="AW48" s="362"/>
      <c r="AX48" s="334"/>
      <c r="AY48" s="359"/>
      <c r="BA48" s="362"/>
      <c r="BB48" s="362"/>
      <c r="BC48" s="326"/>
      <c r="BD48" s="363"/>
      <c r="BE48" s="362"/>
      <c r="BF48" s="326"/>
      <c r="BG48" s="362"/>
      <c r="BH48" s="362"/>
      <c r="BI48" s="326"/>
      <c r="BJ48" s="362"/>
      <c r="BK48" s="362"/>
      <c r="BL48" s="334"/>
      <c r="BM48" s="359"/>
      <c r="BO48" s="362"/>
      <c r="BP48" s="362"/>
      <c r="BQ48" s="326"/>
      <c r="BR48" s="363"/>
      <c r="BS48" s="362"/>
      <c r="BT48" s="326"/>
      <c r="BU48" s="362"/>
      <c r="BV48" s="362"/>
      <c r="BW48" s="326"/>
      <c r="BX48" s="362"/>
      <c r="BY48" s="362"/>
      <c r="BZ48" s="334"/>
      <c r="CA48" s="359"/>
    </row>
    <row r="49" spans="2:79" ht="15.75" thickBot="1" x14ac:dyDescent="0.25">
      <c r="B49" s="869"/>
      <c r="C49" s="812"/>
      <c r="D49" s="773"/>
      <c r="E49" s="773"/>
      <c r="F49" s="832"/>
      <c r="G49" s="326"/>
      <c r="H49" s="400">
        <f>+'Plan de Accion 2018'!AA27</f>
        <v>0.24367466379737907</v>
      </c>
      <c r="I49" s="337">
        <f>+'Plan de Accion 2018'!BM27</f>
        <v>0.97469865518951626</v>
      </c>
      <c r="J49" s="330">
        <f>+'Plan de Accion 2018'!AF27</f>
        <v>0.24367466379737907</v>
      </c>
      <c r="K49" s="329"/>
      <c r="L49" s="336">
        <f>+'Plan de Accion 2018'!AK27</f>
        <v>0</v>
      </c>
      <c r="M49" s="337">
        <f>+'Plan de Accion 2018'!BO27</f>
        <v>0</v>
      </c>
      <c r="N49" s="338">
        <f>+'Plan de Accion 2018'!AP27</f>
        <v>0.24367466379737907</v>
      </c>
      <c r="O49" s="329"/>
      <c r="P49" s="336">
        <f>+'Plan de Accion 2018'!AU27</f>
        <v>0</v>
      </c>
      <c r="Q49" s="337">
        <f>+'Plan de Accion 2018'!BQ27</f>
        <v>0</v>
      </c>
      <c r="R49" s="338">
        <f>+'Plan de Accion 2018'!AZ27</f>
        <v>0.24367466379737907</v>
      </c>
      <c r="S49" s="329"/>
      <c r="T49" s="336">
        <f>+'Plan de Accion 2018'!BE27</f>
        <v>0</v>
      </c>
      <c r="U49" s="337">
        <f>+'Plan de Accion 2018'!BS27</f>
        <v>0</v>
      </c>
      <c r="V49" s="338">
        <f>+'Plan de Accion 2018'!BJ27</f>
        <v>0.24367466379737907</v>
      </c>
      <c r="W49" s="360"/>
      <c r="Y49" s="362"/>
      <c r="Z49" s="362"/>
      <c r="AA49" s="326"/>
      <c r="AB49" s="363"/>
      <c r="AC49" s="362"/>
      <c r="AD49" s="326"/>
      <c r="AE49" s="362"/>
      <c r="AF49" s="362"/>
      <c r="AG49" s="326"/>
      <c r="AH49" s="362"/>
      <c r="AI49" s="362"/>
      <c r="AJ49" s="334"/>
      <c r="AK49" s="359"/>
      <c r="AM49" s="362"/>
      <c r="AN49" s="362"/>
      <c r="AO49" s="326"/>
      <c r="AP49" s="363"/>
      <c r="AQ49" s="362"/>
      <c r="AR49" s="326"/>
      <c r="AS49" s="362"/>
      <c r="AT49" s="362"/>
      <c r="AU49" s="326"/>
      <c r="AV49" s="362"/>
      <c r="AW49" s="362"/>
      <c r="AX49" s="334"/>
      <c r="AY49" s="359"/>
      <c r="BA49" s="362"/>
      <c r="BB49" s="362"/>
      <c r="BC49" s="326"/>
      <c r="BD49" s="363"/>
      <c r="BE49" s="362"/>
      <c r="BF49" s="326"/>
      <c r="BG49" s="362"/>
      <c r="BH49" s="362"/>
      <c r="BI49" s="326"/>
      <c r="BJ49" s="362"/>
      <c r="BK49" s="362"/>
      <c r="BL49" s="334"/>
      <c r="BM49" s="359"/>
      <c r="BO49" s="362"/>
      <c r="BP49" s="362"/>
      <c r="BQ49" s="326"/>
      <c r="BR49" s="363"/>
      <c r="BS49" s="362"/>
      <c r="BT49" s="326"/>
      <c r="BU49" s="362"/>
      <c r="BV49" s="362"/>
      <c r="BW49" s="326"/>
      <c r="BX49" s="362"/>
      <c r="BY49" s="362"/>
      <c r="BZ49" s="334"/>
      <c r="CA49" s="359"/>
    </row>
    <row r="50" spans="2:79" ht="15" x14ac:dyDescent="0.2">
      <c r="B50" s="869"/>
      <c r="C50" s="812"/>
      <c r="D50" s="773"/>
      <c r="E50" s="773"/>
      <c r="F50" s="832"/>
      <c r="G50" s="326"/>
      <c r="H50" s="400">
        <f>+'Plan de Accion 2018'!AA28</f>
        <v>2.5419841830139536</v>
      </c>
      <c r="I50" s="337">
        <f>+'Plan de Accion 2018'!BM28</f>
        <v>10.167936732055814</v>
      </c>
      <c r="J50" s="330">
        <f>+'Plan de Accion 2018'!AF28</f>
        <v>0.53399662803522996</v>
      </c>
      <c r="K50" s="329"/>
      <c r="L50" s="336">
        <f>+'Plan de Accion 2018'!AK28</f>
        <v>0</v>
      </c>
      <c r="M50" s="337">
        <f>+'Plan de Accion 2018'!BO28</f>
        <v>0</v>
      </c>
      <c r="N50" s="338">
        <f>+'Plan de Accion 2018'!AP28</f>
        <v>0.53399662803522996</v>
      </c>
      <c r="O50" s="329"/>
      <c r="P50" s="336">
        <f>+'Plan de Accion 2018'!AU28</f>
        <v>0</v>
      </c>
      <c r="Q50" s="337">
        <f>+'Plan de Accion 2018'!BQ28</f>
        <v>0</v>
      </c>
      <c r="R50" s="338">
        <f>+'Plan de Accion 2018'!AZ28</f>
        <v>0.53399662803522996</v>
      </c>
      <c r="S50" s="329"/>
      <c r="T50" s="336">
        <f>+'Plan de Accion 2018'!BE28</f>
        <v>0</v>
      </c>
      <c r="U50" s="337">
        <f>+'Plan de Accion 2018'!BS28</f>
        <v>0</v>
      </c>
      <c r="V50" s="338">
        <f>+'Plan de Accion 2018'!BJ28</f>
        <v>0.53399662803522996</v>
      </c>
      <c r="W50" s="356"/>
      <c r="Y50" s="362"/>
      <c r="Z50" s="362"/>
      <c r="AA50" s="326"/>
      <c r="AB50" s="363"/>
      <c r="AC50" s="362"/>
      <c r="AD50" s="326"/>
      <c r="AE50" s="362"/>
      <c r="AF50" s="362"/>
      <c r="AG50" s="326"/>
      <c r="AH50" s="362"/>
      <c r="AI50" s="362"/>
      <c r="AJ50" s="334"/>
      <c r="AK50" s="359"/>
      <c r="AM50" s="362"/>
      <c r="AN50" s="362"/>
      <c r="AO50" s="326"/>
      <c r="AP50" s="363"/>
      <c r="AQ50" s="362"/>
      <c r="AR50" s="326"/>
      <c r="AS50" s="362"/>
      <c r="AT50" s="362"/>
      <c r="AU50" s="326"/>
      <c r="AV50" s="362"/>
      <c r="AW50" s="362"/>
      <c r="AX50" s="334"/>
      <c r="AY50" s="359"/>
      <c r="BA50" s="362"/>
      <c r="BB50" s="362"/>
      <c r="BC50" s="326"/>
      <c r="BD50" s="363"/>
      <c r="BE50" s="362"/>
      <c r="BF50" s="326"/>
      <c r="BG50" s="362"/>
      <c r="BH50" s="362"/>
      <c r="BI50" s="326"/>
      <c r="BJ50" s="362"/>
      <c r="BK50" s="362"/>
      <c r="BL50" s="334"/>
      <c r="BM50" s="359"/>
      <c r="BO50" s="362"/>
      <c r="BP50" s="362"/>
      <c r="BQ50" s="326"/>
      <c r="BR50" s="363"/>
      <c r="BS50" s="362"/>
      <c r="BT50" s="326"/>
      <c r="BU50" s="362"/>
      <c r="BV50" s="362"/>
      <c r="BW50" s="326"/>
      <c r="BX50" s="362"/>
      <c r="BY50" s="362"/>
      <c r="BZ50" s="334"/>
      <c r="CA50" s="359"/>
    </row>
    <row r="51" spans="2:79" ht="15" x14ac:dyDescent="0.2">
      <c r="B51" s="869"/>
      <c r="C51" s="812"/>
      <c r="D51" s="773"/>
      <c r="E51" s="773"/>
      <c r="F51" s="832"/>
      <c r="G51" s="326"/>
      <c r="H51" s="400">
        <f>+'Plan de Accion 2018'!AA29</f>
        <v>0.37511077803977039</v>
      </c>
      <c r="I51" s="337">
        <f>+'Plan de Accion 2018'!BM29</f>
        <v>1.5004431121590815</v>
      </c>
      <c r="J51" s="330">
        <f>+'Plan de Accion 2018'!AF29</f>
        <v>0.37511077803977039</v>
      </c>
      <c r="K51" s="329"/>
      <c r="L51" s="336">
        <f>+'Plan de Accion 2018'!AK29</f>
        <v>0</v>
      </c>
      <c r="M51" s="337">
        <f>+'Plan de Accion 2018'!BO29</f>
        <v>0</v>
      </c>
      <c r="N51" s="338">
        <f>+'Plan de Accion 2018'!AP29</f>
        <v>0.37511077803977039</v>
      </c>
      <c r="O51" s="329"/>
      <c r="P51" s="336">
        <f>+'Plan de Accion 2018'!AU29</f>
        <v>0</v>
      </c>
      <c r="Q51" s="337">
        <f>+'Plan de Accion 2018'!BQ29</f>
        <v>0</v>
      </c>
      <c r="R51" s="338">
        <f>+'Plan de Accion 2018'!AZ29</f>
        <v>0.37511077803977039</v>
      </c>
      <c r="S51" s="329"/>
      <c r="T51" s="336">
        <f>+'Plan de Accion 2018'!BE29</f>
        <v>0</v>
      </c>
      <c r="U51" s="337">
        <f>+'Plan de Accion 2018'!BS29</f>
        <v>0</v>
      </c>
      <c r="V51" s="338">
        <f>+'Plan de Accion 2018'!BJ29</f>
        <v>0.37511077803977039</v>
      </c>
      <c r="W51" s="358"/>
      <c r="Y51" s="362"/>
      <c r="Z51" s="362"/>
      <c r="AA51" s="326"/>
      <c r="AB51" s="363"/>
      <c r="AC51" s="362"/>
      <c r="AD51" s="326"/>
      <c r="AE51" s="362"/>
      <c r="AF51" s="362"/>
      <c r="AG51" s="326"/>
      <c r="AH51" s="362"/>
      <c r="AI51" s="362"/>
      <c r="AJ51" s="334"/>
      <c r="AK51" s="359"/>
      <c r="AM51" s="362"/>
      <c r="AN51" s="362"/>
      <c r="AO51" s="326"/>
      <c r="AP51" s="363"/>
      <c r="AQ51" s="362"/>
      <c r="AR51" s="326"/>
      <c r="AS51" s="362"/>
      <c r="AT51" s="362"/>
      <c r="AU51" s="326"/>
      <c r="AV51" s="362"/>
      <c r="AW51" s="362"/>
      <c r="AX51" s="334"/>
      <c r="AY51" s="359"/>
      <c r="BA51" s="362"/>
      <c r="BB51" s="362"/>
      <c r="BC51" s="326"/>
      <c r="BD51" s="363"/>
      <c r="BE51" s="362"/>
      <c r="BF51" s="326"/>
      <c r="BG51" s="362"/>
      <c r="BH51" s="362"/>
      <c r="BI51" s="326"/>
      <c r="BJ51" s="362"/>
      <c r="BK51" s="362"/>
      <c r="BL51" s="334"/>
      <c r="BM51" s="359"/>
      <c r="BO51" s="362"/>
      <c r="BP51" s="362"/>
      <c r="BQ51" s="326"/>
      <c r="BR51" s="363"/>
      <c r="BS51" s="362"/>
      <c r="BT51" s="326"/>
      <c r="BU51" s="362"/>
      <c r="BV51" s="362"/>
      <c r="BW51" s="326"/>
      <c r="BX51" s="362"/>
      <c r="BY51" s="362"/>
      <c r="BZ51" s="334"/>
      <c r="CA51" s="359"/>
    </row>
    <row r="52" spans="2:79" ht="15.75" thickBot="1" x14ac:dyDescent="0.25">
      <c r="B52" s="869"/>
      <c r="C52" s="812"/>
      <c r="D52" s="773"/>
      <c r="E52" s="773"/>
      <c r="F52" s="832"/>
      <c r="G52" s="326"/>
      <c r="H52" s="400">
        <f>+'Plan de Accion 2018'!AA30</f>
        <v>0</v>
      </c>
      <c r="I52" s="337">
        <f>+'Plan de Accion 2018'!BM30</f>
        <v>0</v>
      </c>
      <c r="J52" s="448">
        <f>+'Plan de Accion 2018'!AF30</f>
        <v>0</v>
      </c>
      <c r="K52" s="329"/>
      <c r="L52" s="336">
        <f>+'Plan de Accion 2018'!AK30</f>
        <v>0</v>
      </c>
      <c r="M52" s="337">
        <f>+'Plan de Accion 2018'!BO30</f>
        <v>0</v>
      </c>
      <c r="N52" s="338">
        <f>+'Plan de Accion 2018'!AP30</f>
        <v>0</v>
      </c>
      <c r="O52" s="329"/>
      <c r="P52" s="336">
        <f>+'Plan de Accion 2018'!AU30</f>
        <v>0</v>
      </c>
      <c r="Q52" s="337">
        <f>+'Plan de Accion 2018'!BQ30</f>
        <v>0</v>
      </c>
      <c r="R52" s="338">
        <f>+'Plan de Accion 2018'!AZ30</f>
        <v>0</v>
      </c>
      <c r="S52" s="329"/>
      <c r="T52" s="336">
        <f>+'Plan de Accion 2018'!BE30</f>
        <v>0</v>
      </c>
      <c r="U52" s="337">
        <f>+'Plan de Accion 2018'!BS30</f>
        <v>0</v>
      </c>
      <c r="V52" s="338">
        <f>+'Plan de Accion 2018'!BJ30</f>
        <v>0</v>
      </c>
      <c r="W52" s="360"/>
      <c r="Y52" s="362"/>
      <c r="Z52" s="362"/>
      <c r="AA52" s="326"/>
      <c r="AB52" s="363"/>
      <c r="AC52" s="362"/>
      <c r="AD52" s="326"/>
      <c r="AE52" s="362"/>
      <c r="AF52" s="362"/>
      <c r="AG52" s="326"/>
      <c r="AH52" s="362"/>
      <c r="AI52" s="362"/>
      <c r="AJ52" s="334"/>
      <c r="AK52" s="359"/>
      <c r="AM52" s="362"/>
      <c r="AN52" s="362"/>
      <c r="AO52" s="326"/>
      <c r="AP52" s="363"/>
      <c r="AQ52" s="362"/>
      <c r="AR52" s="326"/>
      <c r="AS52" s="362"/>
      <c r="AT52" s="362"/>
      <c r="AU52" s="326"/>
      <c r="AV52" s="362"/>
      <c r="AW52" s="362"/>
      <c r="AX52" s="334"/>
      <c r="AY52" s="359"/>
      <c r="BA52" s="362"/>
      <c r="BB52" s="362"/>
      <c r="BC52" s="326"/>
      <c r="BD52" s="363"/>
      <c r="BE52" s="362"/>
      <c r="BF52" s="326"/>
      <c r="BG52" s="362"/>
      <c r="BH52" s="362"/>
      <c r="BI52" s="326"/>
      <c r="BJ52" s="362"/>
      <c r="BK52" s="362"/>
      <c r="BL52" s="334"/>
      <c r="BM52" s="359"/>
      <c r="BO52" s="362"/>
      <c r="BP52" s="362"/>
      <c r="BQ52" s="326"/>
      <c r="BR52" s="363"/>
      <c r="BS52" s="362"/>
      <c r="BT52" s="326"/>
      <c r="BU52" s="362"/>
      <c r="BV52" s="362"/>
      <c r="BW52" s="326"/>
      <c r="BX52" s="362"/>
      <c r="BY52" s="362"/>
      <c r="BZ52" s="334"/>
      <c r="CA52" s="359"/>
    </row>
    <row r="53" spans="2:79" ht="15.75" thickBot="1" x14ac:dyDescent="0.25">
      <c r="B53" s="869"/>
      <c r="C53" s="812"/>
      <c r="D53" s="773"/>
      <c r="E53" s="773"/>
      <c r="F53" s="832"/>
      <c r="G53" s="326"/>
      <c r="H53" s="400">
        <f>+'Plan de Accion 2018'!AA31</f>
        <v>9.2528103872319828E-4</v>
      </c>
      <c r="I53" s="337">
        <f>+'Plan de Accion 2018'!BM31</f>
        <v>3.7011241548927931E-3</v>
      </c>
      <c r="J53" s="447">
        <f>+'Plan de Accion 2018'!AF31</f>
        <v>9.2528121501692052E-4</v>
      </c>
      <c r="K53" s="329"/>
      <c r="L53" s="336">
        <f>+'Plan de Accion 2018'!AK31</f>
        <v>0</v>
      </c>
      <c r="M53" s="337">
        <f>+'Plan de Accion 2018'!BO31</f>
        <v>0</v>
      </c>
      <c r="N53" s="338">
        <f>+'Plan de Accion 2018'!AP31</f>
        <v>9.2528121501692052E-4</v>
      </c>
      <c r="O53" s="329"/>
      <c r="P53" s="336">
        <f>+'Plan de Accion 2018'!AU31</f>
        <v>0</v>
      </c>
      <c r="Q53" s="337">
        <f>+'Plan de Accion 2018'!BQ31</f>
        <v>0</v>
      </c>
      <c r="R53" s="338">
        <f>+'Plan de Accion 2018'!AZ31</f>
        <v>9.2528121501692052E-4</v>
      </c>
      <c r="S53" s="329"/>
      <c r="T53" s="336">
        <f>+'Plan de Accion 2018'!BE31</f>
        <v>0</v>
      </c>
      <c r="U53" s="337">
        <f>+'Plan de Accion 2018'!BS31</f>
        <v>0</v>
      </c>
      <c r="V53" s="338">
        <f>+'Plan de Accion 2018'!BJ31</f>
        <v>9.2528121501692052E-4</v>
      </c>
      <c r="W53" s="360"/>
      <c r="Y53" s="363"/>
      <c r="Z53" s="364"/>
      <c r="AA53" s="326"/>
      <c r="AB53" s="363"/>
      <c r="AC53" s="364"/>
      <c r="AD53" s="326"/>
      <c r="AE53" s="363"/>
      <c r="AF53" s="364"/>
      <c r="AG53" s="326"/>
      <c r="AH53" s="363"/>
      <c r="AI53" s="364"/>
      <c r="AJ53" s="334"/>
      <c r="AK53" s="359"/>
      <c r="AM53" s="363"/>
      <c r="AN53" s="364"/>
      <c r="AO53" s="326"/>
      <c r="AP53" s="363"/>
      <c r="AQ53" s="364"/>
      <c r="AR53" s="326"/>
      <c r="AS53" s="363"/>
      <c r="AT53" s="364"/>
      <c r="AU53" s="326"/>
      <c r="AV53" s="363"/>
      <c r="AW53" s="364"/>
      <c r="AX53" s="334"/>
      <c r="AY53" s="359"/>
      <c r="BA53" s="363"/>
      <c r="BB53" s="364"/>
      <c r="BC53" s="326"/>
      <c r="BD53" s="363"/>
      <c r="BE53" s="364"/>
      <c r="BF53" s="326"/>
      <c r="BG53" s="363"/>
      <c r="BH53" s="364"/>
      <c r="BI53" s="326"/>
      <c r="BJ53" s="363"/>
      <c r="BK53" s="364"/>
      <c r="BL53" s="334"/>
      <c r="BM53" s="359"/>
      <c r="BO53" s="363"/>
      <c r="BP53" s="364"/>
      <c r="BQ53" s="326"/>
      <c r="BR53" s="363"/>
      <c r="BS53" s="364"/>
      <c r="BT53" s="326"/>
      <c r="BU53" s="363"/>
      <c r="BV53" s="364"/>
      <c r="BW53" s="326"/>
      <c r="BX53" s="363"/>
      <c r="BY53" s="364"/>
      <c r="BZ53" s="334"/>
      <c r="CA53" s="359"/>
    </row>
    <row r="54" spans="2:79" ht="15.75" thickBot="1" x14ac:dyDescent="0.25">
      <c r="B54" s="869"/>
      <c r="C54" s="812"/>
      <c r="D54" s="773"/>
      <c r="E54" s="773"/>
      <c r="F54" s="832"/>
      <c r="G54" s="326"/>
      <c r="H54" s="400">
        <f>+'Plan de Accion 2018'!AA32</f>
        <v>1.7306364600044829E-3</v>
      </c>
      <c r="I54" s="337">
        <f>+'Plan de Accion 2018'!BM32</f>
        <v>6.9225458400179315E-3</v>
      </c>
      <c r="J54" s="447">
        <f>+'Plan de Accion 2018'!AF32</f>
        <v>1.7306364600044829E-3</v>
      </c>
      <c r="K54" s="329"/>
      <c r="L54" s="336">
        <f>+'Plan de Accion 2018'!AK32</f>
        <v>0</v>
      </c>
      <c r="M54" s="337">
        <f>+'Plan de Accion 2018'!BO32</f>
        <v>0</v>
      </c>
      <c r="N54" s="338">
        <f>+'Plan de Accion 2018'!AP32</f>
        <v>1.7306364600044829E-3</v>
      </c>
      <c r="O54" s="329"/>
      <c r="P54" s="336">
        <f>+'Plan de Accion 2018'!AU32</f>
        <v>0</v>
      </c>
      <c r="Q54" s="337">
        <f>+'Plan de Accion 2018'!BQ32</f>
        <v>0</v>
      </c>
      <c r="R54" s="338">
        <f>+'Plan de Accion 2018'!AZ32</f>
        <v>1.7306364600044829E-3</v>
      </c>
      <c r="S54" s="329"/>
      <c r="T54" s="336">
        <f>+'Plan de Accion 2018'!BE32</f>
        <v>0</v>
      </c>
      <c r="U54" s="337">
        <f>+'Plan de Accion 2018'!BS32</f>
        <v>0</v>
      </c>
      <c r="V54" s="338">
        <f>+'Plan de Accion 2018'!BJ32</f>
        <v>1.7306364600044829E-3</v>
      </c>
      <c r="W54" s="360"/>
      <c r="Y54" s="363"/>
      <c r="Z54" s="364"/>
      <c r="AA54" s="326"/>
      <c r="AB54" s="363"/>
      <c r="AC54" s="364"/>
      <c r="AD54" s="326"/>
      <c r="AE54" s="363"/>
      <c r="AF54" s="364"/>
      <c r="AG54" s="326"/>
      <c r="AH54" s="363"/>
      <c r="AI54" s="364"/>
      <c r="AJ54" s="334"/>
      <c r="AK54" s="359"/>
      <c r="AM54" s="363"/>
      <c r="AN54" s="364"/>
      <c r="AO54" s="326"/>
      <c r="AP54" s="363"/>
      <c r="AQ54" s="364"/>
      <c r="AR54" s="326"/>
      <c r="AS54" s="363"/>
      <c r="AT54" s="364"/>
      <c r="AU54" s="326"/>
      <c r="AV54" s="363"/>
      <c r="AW54" s="364"/>
      <c r="AX54" s="334"/>
      <c r="AY54" s="359"/>
      <c r="BA54" s="363"/>
      <c r="BB54" s="364"/>
      <c r="BC54" s="326"/>
      <c r="BD54" s="363"/>
      <c r="BE54" s="364"/>
      <c r="BF54" s="326"/>
      <c r="BG54" s="363"/>
      <c r="BH54" s="364"/>
      <c r="BI54" s="326"/>
      <c r="BJ54" s="363"/>
      <c r="BK54" s="364"/>
      <c r="BL54" s="334"/>
      <c r="BM54" s="359"/>
      <c r="BO54" s="363"/>
      <c r="BP54" s="364"/>
      <c r="BQ54" s="326"/>
      <c r="BR54" s="363"/>
      <c r="BS54" s="364"/>
      <c r="BT54" s="326"/>
      <c r="BU54" s="363"/>
      <c r="BV54" s="364"/>
      <c r="BW54" s="326"/>
      <c r="BX54" s="363"/>
      <c r="BY54" s="364"/>
      <c r="BZ54" s="334"/>
      <c r="CA54" s="359"/>
    </row>
    <row r="55" spans="2:79" ht="15.75" thickBot="1" x14ac:dyDescent="0.25">
      <c r="B55" s="869"/>
      <c r="C55" s="812"/>
      <c r="D55" s="773"/>
      <c r="E55" s="773"/>
      <c r="F55" s="832"/>
      <c r="G55" s="326"/>
      <c r="H55" s="400">
        <f>+'Plan de Accion 2018'!AA33</f>
        <v>0</v>
      </c>
      <c r="I55" s="337">
        <f>+'Plan de Accion 2018'!BM33</f>
        <v>0</v>
      </c>
      <c r="J55" s="330">
        <f>+'Plan de Accion 2018'!AF33</f>
        <v>0</v>
      </c>
      <c r="K55" s="329"/>
      <c r="L55" s="336">
        <f>+'Plan de Accion 2018'!AK33</f>
        <v>0</v>
      </c>
      <c r="M55" s="337">
        <f>+'Plan de Accion 2018'!BO33</f>
        <v>0</v>
      </c>
      <c r="N55" s="338">
        <f>+'Plan de Accion 2018'!AP33</f>
        <v>0</v>
      </c>
      <c r="O55" s="329"/>
      <c r="P55" s="336">
        <f>+'Plan de Accion 2018'!AU33</f>
        <v>0</v>
      </c>
      <c r="Q55" s="337">
        <f>+'Plan de Accion 2018'!BQ33</f>
        <v>0</v>
      </c>
      <c r="R55" s="338">
        <f>+'Plan de Accion 2018'!AZ33</f>
        <v>0</v>
      </c>
      <c r="S55" s="329"/>
      <c r="T55" s="336">
        <f>+'Plan de Accion 2018'!BE33</f>
        <v>0</v>
      </c>
      <c r="U55" s="337">
        <f>+'Plan de Accion 2018'!BS33</f>
        <v>0</v>
      </c>
      <c r="V55" s="338">
        <f>+'Plan de Accion 2018'!BJ33</f>
        <v>0</v>
      </c>
      <c r="W55" s="360"/>
      <c r="Y55" s="363"/>
      <c r="Z55" s="364"/>
      <c r="AA55" s="326"/>
      <c r="AB55" s="363"/>
      <c r="AC55" s="364"/>
      <c r="AD55" s="326"/>
      <c r="AE55" s="363"/>
      <c r="AF55" s="364"/>
      <c r="AG55" s="326"/>
      <c r="AH55" s="363"/>
      <c r="AI55" s="364"/>
      <c r="AJ55" s="334"/>
      <c r="AK55" s="359"/>
      <c r="AM55" s="363"/>
      <c r="AN55" s="364"/>
      <c r="AO55" s="326"/>
      <c r="AP55" s="363"/>
      <c r="AQ55" s="364"/>
      <c r="AR55" s="326"/>
      <c r="AS55" s="363"/>
      <c r="AT55" s="364"/>
      <c r="AU55" s="326"/>
      <c r="AV55" s="363"/>
      <c r="AW55" s="364"/>
      <c r="AX55" s="334"/>
      <c r="AY55" s="359"/>
      <c r="BA55" s="363"/>
      <c r="BB55" s="364"/>
      <c r="BC55" s="326"/>
      <c r="BD55" s="363"/>
      <c r="BE55" s="364"/>
      <c r="BF55" s="326"/>
      <c r="BG55" s="363"/>
      <c r="BH55" s="364"/>
      <c r="BI55" s="326"/>
      <c r="BJ55" s="363"/>
      <c r="BK55" s="364"/>
      <c r="BL55" s="334"/>
      <c r="BM55" s="359"/>
      <c r="BO55" s="363"/>
      <c r="BP55" s="364"/>
      <c r="BQ55" s="326"/>
      <c r="BR55" s="363"/>
      <c r="BS55" s="364"/>
      <c r="BT55" s="326"/>
      <c r="BU55" s="363"/>
      <c r="BV55" s="364"/>
      <c r="BW55" s="326"/>
      <c r="BX55" s="363"/>
      <c r="BY55" s="364"/>
      <c r="BZ55" s="334"/>
      <c r="CA55" s="359"/>
    </row>
    <row r="56" spans="2:79" ht="15.75" thickBot="1" x14ac:dyDescent="0.25">
      <c r="B56" s="869"/>
      <c r="C56" s="812"/>
      <c r="D56" s="773"/>
      <c r="E56" s="773"/>
      <c r="F56" s="832"/>
      <c r="G56" s="326"/>
      <c r="H56" s="400">
        <f>+'Plan de Accion 2018'!AA34</f>
        <v>0.26111160951589168</v>
      </c>
      <c r="I56" s="337">
        <f>+'Plan de Accion 2018'!BM34</f>
        <v>1.0444464380635667</v>
      </c>
      <c r="J56" s="330">
        <f>+'Plan de Accion 2018'!AF34</f>
        <v>0.26111160951589168</v>
      </c>
      <c r="K56" s="329"/>
      <c r="L56" s="336">
        <f>+'Plan de Accion 2018'!AK34</f>
        <v>0</v>
      </c>
      <c r="M56" s="337">
        <f>+'Plan de Accion 2018'!BO34</f>
        <v>0</v>
      </c>
      <c r="N56" s="338">
        <f>+'Plan de Accion 2018'!AP34</f>
        <v>0.26111160951589168</v>
      </c>
      <c r="O56" s="329"/>
      <c r="P56" s="336">
        <f>+'Plan de Accion 2018'!AU34</f>
        <v>0</v>
      </c>
      <c r="Q56" s="337">
        <f>+'Plan de Accion 2018'!BQ34</f>
        <v>0</v>
      </c>
      <c r="R56" s="338">
        <f>+'Plan de Accion 2018'!AZ34</f>
        <v>0.26111160951589168</v>
      </c>
      <c r="S56" s="329"/>
      <c r="T56" s="336">
        <f>+'Plan de Accion 2018'!BE34</f>
        <v>0</v>
      </c>
      <c r="U56" s="337">
        <f>+'Plan de Accion 2018'!BS34</f>
        <v>0</v>
      </c>
      <c r="V56" s="338">
        <f>+'Plan de Accion 2018'!BJ34</f>
        <v>0.26111160951589168</v>
      </c>
      <c r="W56" s="360"/>
      <c r="Y56" s="363"/>
      <c r="Z56" s="364"/>
      <c r="AA56" s="326"/>
      <c r="AB56" s="363"/>
      <c r="AC56" s="364"/>
      <c r="AD56" s="326"/>
      <c r="AE56" s="363"/>
      <c r="AF56" s="364"/>
      <c r="AG56" s="326"/>
      <c r="AH56" s="363"/>
      <c r="AI56" s="364"/>
      <c r="AJ56" s="334"/>
      <c r="AK56" s="359"/>
      <c r="AM56" s="363"/>
      <c r="AN56" s="364"/>
      <c r="AO56" s="326"/>
      <c r="AP56" s="363"/>
      <c r="AQ56" s="364"/>
      <c r="AR56" s="326"/>
      <c r="AS56" s="363"/>
      <c r="AT56" s="364"/>
      <c r="AU56" s="326"/>
      <c r="AV56" s="363"/>
      <c r="AW56" s="364"/>
      <c r="AX56" s="334"/>
      <c r="AY56" s="359"/>
      <c r="BA56" s="363"/>
      <c r="BB56" s="364"/>
      <c r="BC56" s="326"/>
      <c r="BD56" s="363"/>
      <c r="BE56" s="364"/>
      <c r="BF56" s="326"/>
      <c r="BG56" s="363"/>
      <c r="BH56" s="364"/>
      <c r="BI56" s="326"/>
      <c r="BJ56" s="363"/>
      <c r="BK56" s="364"/>
      <c r="BL56" s="334"/>
      <c r="BM56" s="359"/>
      <c r="BO56" s="363"/>
      <c r="BP56" s="364"/>
      <c r="BQ56" s="326"/>
      <c r="BR56" s="363"/>
      <c r="BS56" s="364"/>
      <c r="BT56" s="326"/>
      <c r="BU56" s="363"/>
      <c r="BV56" s="364"/>
      <c r="BW56" s="326"/>
      <c r="BX56" s="363"/>
      <c r="BY56" s="364"/>
      <c r="BZ56" s="334"/>
      <c r="CA56" s="359"/>
    </row>
    <row r="57" spans="2:79" ht="15.75" thickBot="1" x14ac:dyDescent="0.25">
      <c r="B57" s="869"/>
      <c r="C57" s="812"/>
      <c r="D57" s="773"/>
      <c r="E57" s="773"/>
      <c r="F57" s="833"/>
      <c r="G57" s="326"/>
      <c r="H57" s="400">
        <f>+'Plan de Accion 2018'!AA35</f>
        <v>0</v>
      </c>
      <c r="I57" s="337">
        <f>+'Plan de Accion 2018'!BM35</f>
        <v>0</v>
      </c>
      <c r="J57" s="330">
        <f>+'Plan de Accion 2018'!AF35</f>
        <v>0</v>
      </c>
      <c r="K57" s="329"/>
      <c r="L57" s="336">
        <f>+'Plan de Accion 2018'!AK35</f>
        <v>0</v>
      </c>
      <c r="M57" s="337">
        <f>+'Plan de Accion 2018'!BO35</f>
        <v>0</v>
      </c>
      <c r="N57" s="338">
        <f>+'Plan de Accion 2018'!AP35</f>
        <v>0</v>
      </c>
      <c r="O57" s="329"/>
      <c r="P57" s="336">
        <f>+'Plan de Accion 2018'!AU35</f>
        <v>0</v>
      </c>
      <c r="Q57" s="337">
        <f>+'Plan de Accion 2018'!BQ35</f>
        <v>0</v>
      </c>
      <c r="R57" s="338">
        <f>+'Plan de Accion 2018'!AZ35</f>
        <v>0</v>
      </c>
      <c r="S57" s="329"/>
      <c r="T57" s="336">
        <f>+'Plan de Accion 2018'!BE35</f>
        <v>0</v>
      </c>
      <c r="U57" s="337">
        <f>+'Plan de Accion 2018'!BS35</f>
        <v>0</v>
      </c>
      <c r="V57" s="338">
        <f>+'Plan de Accion 2018'!BJ35</f>
        <v>0</v>
      </c>
      <c r="W57" s="360"/>
      <c r="Y57" s="363"/>
      <c r="Z57" s="364"/>
      <c r="AA57" s="326"/>
      <c r="AB57" s="363"/>
      <c r="AC57" s="364"/>
      <c r="AD57" s="326"/>
      <c r="AE57" s="363"/>
      <c r="AF57" s="364"/>
      <c r="AG57" s="326"/>
      <c r="AH57" s="363"/>
      <c r="AI57" s="364"/>
      <c r="AJ57" s="334"/>
      <c r="AK57" s="359"/>
      <c r="AM57" s="363"/>
      <c r="AN57" s="364"/>
      <c r="AO57" s="326"/>
      <c r="AP57" s="363"/>
      <c r="AQ57" s="364"/>
      <c r="AR57" s="326"/>
      <c r="AS57" s="363"/>
      <c r="AT57" s="364"/>
      <c r="AU57" s="326"/>
      <c r="AV57" s="363"/>
      <c r="AW57" s="364"/>
      <c r="AX57" s="334"/>
      <c r="AY57" s="359"/>
      <c r="BA57" s="363"/>
      <c r="BB57" s="364"/>
      <c r="BC57" s="326"/>
      <c r="BD57" s="363"/>
      <c r="BE57" s="364"/>
      <c r="BF57" s="326"/>
      <c r="BG57" s="363"/>
      <c r="BH57" s="364"/>
      <c r="BI57" s="326"/>
      <c r="BJ57" s="363"/>
      <c r="BK57" s="364"/>
      <c r="BL57" s="334"/>
      <c r="BM57" s="359"/>
      <c r="BO57" s="363"/>
      <c r="BP57" s="364"/>
      <c r="BQ57" s="326"/>
      <c r="BR57" s="363"/>
      <c r="BS57" s="364"/>
      <c r="BT57" s="326"/>
      <c r="BU57" s="363"/>
      <c r="BV57" s="364"/>
      <c r="BW57" s="326"/>
      <c r="BX57" s="363"/>
      <c r="BY57" s="364"/>
      <c r="BZ57" s="334"/>
      <c r="CA57" s="359"/>
    </row>
    <row r="58" spans="2:79" ht="29.25" thickBot="1" x14ac:dyDescent="0.25">
      <c r="B58" s="869"/>
      <c r="C58" s="812"/>
      <c r="D58" s="339" t="str">
        <f>+'Plan de Accion 2018'!F36</f>
        <v>Publicación  Ejecución Presupuestal</v>
      </c>
      <c r="E58" s="773"/>
      <c r="F58" s="860" t="s">
        <v>816</v>
      </c>
      <c r="G58" s="326"/>
      <c r="H58" s="400">
        <f>+'Plan de Accion 2018'!AD36</f>
        <v>0.50000003244537483</v>
      </c>
      <c r="I58" s="337">
        <f>+'Plan de Accion 2018'!BM36</f>
        <v>0.50000003244537483</v>
      </c>
      <c r="J58" s="330">
        <f>+'Plan de Accion 2018'!AF36</f>
        <v>0.12500000811134371</v>
      </c>
      <c r="K58" s="329"/>
      <c r="L58" s="336">
        <f>+'Plan de Accion 2018'!AN36</f>
        <v>0</v>
      </c>
      <c r="M58" s="337">
        <f>+'Plan de Accion 2018'!BO36</f>
        <v>0</v>
      </c>
      <c r="N58" s="338">
        <f>+'Plan de Accion 2018'!AP36</f>
        <v>0.12500000811134371</v>
      </c>
      <c r="O58" s="329"/>
      <c r="P58" s="336">
        <f>+'Plan de Accion 2018'!AX36</f>
        <v>0</v>
      </c>
      <c r="Q58" s="337">
        <f>+'Plan de Accion 2018'!BQ36</f>
        <v>0</v>
      </c>
      <c r="R58" s="338">
        <f>+'Plan de Accion 2018'!AZ36</f>
        <v>0.12500000811134371</v>
      </c>
      <c r="S58" s="329"/>
      <c r="T58" s="336">
        <f>+'Plan de Accion 2018'!BH36</f>
        <v>0</v>
      </c>
      <c r="U58" s="337">
        <f>+'Plan de Accion 2018'!BS36</f>
        <v>0</v>
      </c>
      <c r="V58" s="338">
        <f>+'Plan de Accion 2018'!BJ36</f>
        <v>0.12500000811134371</v>
      </c>
      <c r="W58" s="360"/>
      <c r="Y58" s="363"/>
      <c r="Z58" s="364"/>
      <c r="AA58" s="326"/>
      <c r="AB58" s="363"/>
      <c r="AC58" s="364"/>
      <c r="AD58" s="326"/>
      <c r="AE58" s="363"/>
      <c r="AF58" s="364"/>
      <c r="AG58" s="326"/>
      <c r="AH58" s="363"/>
      <c r="AI58" s="364"/>
      <c r="AJ58" s="334"/>
      <c r="AK58" s="359"/>
      <c r="AM58" s="363"/>
      <c r="AN58" s="364"/>
      <c r="AO58" s="326"/>
      <c r="AP58" s="363"/>
      <c r="AQ58" s="364"/>
      <c r="AR58" s="326"/>
      <c r="AS58" s="363"/>
      <c r="AT58" s="364"/>
      <c r="AU58" s="326"/>
      <c r="AV58" s="363"/>
      <c r="AW58" s="364"/>
      <c r="AX58" s="334"/>
      <c r="AY58" s="359"/>
      <c r="BA58" s="363"/>
      <c r="BB58" s="364"/>
      <c r="BC58" s="326"/>
      <c r="BD58" s="363"/>
      <c r="BE58" s="364"/>
      <c r="BF58" s="326"/>
      <c r="BG58" s="363"/>
      <c r="BH58" s="364"/>
      <c r="BI58" s="326"/>
      <c r="BJ58" s="363"/>
      <c r="BK58" s="364"/>
      <c r="BL58" s="334"/>
      <c r="BM58" s="359"/>
      <c r="BO58" s="363"/>
      <c r="BP58" s="364"/>
      <c r="BQ58" s="326"/>
      <c r="BR58" s="363"/>
      <c r="BS58" s="364"/>
      <c r="BT58" s="326"/>
      <c r="BU58" s="363"/>
      <c r="BV58" s="364"/>
      <c r="BW58" s="326"/>
      <c r="BX58" s="363"/>
      <c r="BY58" s="364"/>
      <c r="BZ58" s="334"/>
      <c r="CA58" s="359"/>
    </row>
    <row r="59" spans="2:79" ht="15.75" thickBot="1" x14ac:dyDescent="0.25">
      <c r="B59" s="869"/>
      <c r="C59" s="812"/>
      <c r="D59" s="339" t="str">
        <f>+'Plan de Accion 2018'!F37</f>
        <v>Gestión de Recaudo</v>
      </c>
      <c r="E59" s="773"/>
      <c r="F59" s="861"/>
      <c r="G59" s="326"/>
      <c r="H59" s="400">
        <f>+'Plan de Accion 2018'!AD37</f>
        <v>0.8574837141375371</v>
      </c>
      <c r="I59" s="337">
        <f>+'Plan de Accion 2018'!BM37</f>
        <v>0.8574837141375371</v>
      </c>
      <c r="J59" s="330">
        <f>+'Plan de Accion 2018'!AF37</f>
        <v>0.21437092853438428</v>
      </c>
      <c r="K59" s="329"/>
      <c r="L59" s="336">
        <f>+'Plan de Accion 2018'!AN37</f>
        <v>0</v>
      </c>
      <c r="M59" s="337">
        <f>+'Plan de Accion 2018'!BO37</f>
        <v>0</v>
      </c>
      <c r="N59" s="338">
        <f>+'Plan de Accion 2018'!AP37</f>
        <v>0.21437092853438428</v>
      </c>
      <c r="O59" s="329"/>
      <c r="P59" s="336">
        <f>+'Plan de Accion 2018'!AX37</f>
        <v>0</v>
      </c>
      <c r="Q59" s="337">
        <f>+'Plan de Accion 2018'!BQ37</f>
        <v>0</v>
      </c>
      <c r="R59" s="338">
        <f>+'Plan de Accion 2018'!AZ37</f>
        <v>0.21437092853438428</v>
      </c>
      <c r="S59" s="329"/>
      <c r="T59" s="336">
        <f>+'Plan de Accion 2018'!BH37</f>
        <v>0</v>
      </c>
      <c r="U59" s="337">
        <f>+'Plan de Accion 2018'!BS37</f>
        <v>0</v>
      </c>
      <c r="V59" s="338">
        <f>+'Plan de Accion 2018'!BJ37</f>
        <v>0.21437092853438428</v>
      </c>
      <c r="W59" s="360"/>
      <c r="Y59" s="363"/>
      <c r="Z59" s="364"/>
      <c r="AA59" s="326"/>
      <c r="AB59" s="363"/>
      <c r="AC59" s="364"/>
      <c r="AD59" s="326"/>
      <c r="AE59" s="363"/>
      <c r="AF59" s="364"/>
      <c r="AG59" s="326"/>
      <c r="AH59" s="363"/>
      <c r="AI59" s="364"/>
      <c r="AJ59" s="334"/>
      <c r="AK59" s="359"/>
      <c r="AM59" s="363"/>
      <c r="AN59" s="364"/>
      <c r="AO59" s="326"/>
      <c r="AP59" s="363"/>
      <c r="AQ59" s="364"/>
      <c r="AR59" s="326"/>
      <c r="AS59" s="363"/>
      <c r="AT59" s="364"/>
      <c r="AU59" s="326"/>
      <c r="AV59" s="363"/>
      <c r="AW59" s="364"/>
      <c r="AX59" s="334"/>
      <c r="AY59" s="359"/>
      <c r="BA59" s="363"/>
      <c r="BB59" s="364"/>
      <c r="BC59" s="326"/>
      <c r="BD59" s="363"/>
      <c r="BE59" s="364"/>
      <c r="BF59" s="326"/>
      <c r="BG59" s="363"/>
      <c r="BH59" s="364"/>
      <c r="BI59" s="326"/>
      <c r="BJ59" s="363"/>
      <c r="BK59" s="364"/>
      <c r="BL59" s="334"/>
      <c r="BM59" s="359"/>
      <c r="BO59" s="363"/>
      <c r="BP59" s="364"/>
      <c r="BQ59" s="326"/>
      <c r="BR59" s="363"/>
      <c r="BS59" s="364"/>
      <c r="BT59" s="326"/>
      <c r="BU59" s="363"/>
      <c r="BV59" s="364"/>
      <c r="BW59" s="326"/>
      <c r="BX59" s="363"/>
      <c r="BY59" s="364"/>
      <c r="BZ59" s="334"/>
      <c r="CA59" s="359"/>
    </row>
    <row r="60" spans="2:79" ht="15.75" thickBot="1" x14ac:dyDescent="0.25">
      <c r="B60" s="869"/>
      <c r="C60" s="812"/>
      <c r="D60" s="339" t="str">
        <f>+'Plan de Accion 2018'!F40</f>
        <v>Ordenes de Giros</v>
      </c>
      <c r="E60" s="773"/>
      <c r="F60" s="861"/>
      <c r="G60" s="326"/>
      <c r="H60" s="400">
        <f>+'Plan de Accion 2018'!AD40</f>
        <v>0.87371548457995329</v>
      </c>
      <c r="I60" s="337">
        <f>+'Plan de Accion 2018'!BM40</f>
        <v>0.87371548457995329</v>
      </c>
      <c r="J60" s="330">
        <f>+'Plan de Accion 2018'!AF40</f>
        <v>0.21842887114498832</v>
      </c>
      <c r="K60" s="329"/>
      <c r="L60" s="336">
        <f>+'Plan de Accion 2018'!AN40</f>
        <v>0</v>
      </c>
      <c r="M60" s="337">
        <f>+'Plan de Accion 2018'!BO40</f>
        <v>0</v>
      </c>
      <c r="N60" s="338">
        <f>+'Plan de Accion 2018'!AP40</f>
        <v>0.21842887114498832</v>
      </c>
      <c r="O60" s="329"/>
      <c r="P60" s="336">
        <f>+'Plan de Accion 2018'!AX40</f>
        <v>0</v>
      </c>
      <c r="Q60" s="337">
        <f>+'Plan de Accion 2018'!BQ40</f>
        <v>0</v>
      </c>
      <c r="R60" s="338">
        <f>+'Plan de Accion 2018'!AZ40</f>
        <v>0.21842887114498832</v>
      </c>
      <c r="S60" s="329"/>
      <c r="T60" s="336">
        <f>+'Plan de Accion 2018'!BH40</f>
        <v>0</v>
      </c>
      <c r="U60" s="337">
        <f>+'Plan de Accion 2018'!BS40</f>
        <v>0</v>
      </c>
      <c r="V60" s="338">
        <f>+'Plan de Accion 2018'!BJ40</f>
        <v>0.21842887114498832</v>
      </c>
      <c r="W60" s="360"/>
      <c r="Y60" s="363"/>
      <c r="Z60" s="364"/>
      <c r="AA60" s="326"/>
      <c r="AB60" s="363"/>
      <c r="AC60" s="364"/>
      <c r="AD60" s="326"/>
      <c r="AE60" s="363"/>
      <c r="AF60" s="364"/>
      <c r="AG60" s="326"/>
      <c r="AH60" s="363"/>
      <c r="AI60" s="364"/>
      <c r="AJ60" s="334"/>
      <c r="AK60" s="359"/>
      <c r="AM60" s="363"/>
      <c r="AN60" s="364"/>
      <c r="AO60" s="326"/>
      <c r="AP60" s="363"/>
      <c r="AQ60" s="364"/>
      <c r="AR60" s="326"/>
      <c r="AS60" s="363"/>
      <c r="AT60" s="364"/>
      <c r="AU60" s="326"/>
      <c r="AV60" s="363"/>
      <c r="AW60" s="364"/>
      <c r="AX60" s="334"/>
      <c r="AY60" s="359"/>
      <c r="BA60" s="363"/>
      <c r="BB60" s="364"/>
      <c r="BC60" s="326"/>
      <c r="BD60" s="363"/>
      <c r="BE60" s="364"/>
      <c r="BF60" s="326"/>
      <c r="BG60" s="363"/>
      <c r="BH60" s="364"/>
      <c r="BI60" s="326"/>
      <c r="BJ60" s="363"/>
      <c r="BK60" s="364"/>
      <c r="BL60" s="334"/>
      <c r="BM60" s="359"/>
      <c r="BO60" s="363"/>
      <c r="BP60" s="364"/>
      <c r="BQ60" s="326"/>
      <c r="BR60" s="363"/>
      <c r="BS60" s="364"/>
      <c r="BT60" s="326"/>
      <c r="BU60" s="363"/>
      <c r="BV60" s="364"/>
      <c r="BW60" s="326"/>
      <c r="BX60" s="363"/>
      <c r="BY60" s="364"/>
      <c r="BZ60" s="334"/>
      <c r="CA60" s="359"/>
    </row>
    <row r="61" spans="2:79" ht="15.75" thickBot="1" x14ac:dyDescent="0.25">
      <c r="B61" s="869"/>
      <c r="C61" s="812"/>
      <c r="D61" s="339" t="str">
        <f>+'Plan de Accion 2018'!F41</f>
        <v>Portafolio</v>
      </c>
      <c r="E61" s="773"/>
      <c r="F61" s="861"/>
      <c r="G61" s="326"/>
      <c r="H61" s="400">
        <f>+'Plan de Accion 2018'!AD41</f>
        <v>0.87777777777777777</v>
      </c>
      <c r="I61" s="337">
        <f>+'Plan de Accion 2018'!BM41</f>
        <v>0.87777777777777777</v>
      </c>
      <c r="J61" s="330">
        <f>+'Plan de Accion 2018'!AF41</f>
        <v>0.21944444444444444</v>
      </c>
      <c r="K61" s="329"/>
      <c r="L61" s="336">
        <f>+'Plan de Accion 2018'!AN41</f>
        <v>0</v>
      </c>
      <c r="M61" s="337">
        <f>+'Plan de Accion 2018'!BO41</f>
        <v>0</v>
      </c>
      <c r="N61" s="338">
        <f>+'Plan de Accion 2018'!AP41</f>
        <v>0.21944444444444444</v>
      </c>
      <c r="O61" s="329"/>
      <c r="P61" s="336">
        <f>+'Plan de Accion 2018'!AX41</f>
        <v>0</v>
      </c>
      <c r="Q61" s="337">
        <f>+'Plan de Accion 2018'!BQ41</f>
        <v>0</v>
      </c>
      <c r="R61" s="338">
        <f>+'Plan de Accion 2018'!AZ41</f>
        <v>0.21944444444444444</v>
      </c>
      <c r="S61" s="329"/>
      <c r="T61" s="336">
        <f>+'Plan de Accion 2018'!BH41</f>
        <v>0</v>
      </c>
      <c r="U61" s="337">
        <f>+'Plan de Accion 2018'!BS41</f>
        <v>0</v>
      </c>
      <c r="V61" s="338">
        <f>+'Plan de Accion 2018'!BJ41</f>
        <v>0.21944444444444444</v>
      </c>
      <c r="W61" s="360"/>
      <c r="Y61" s="363"/>
      <c r="Z61" s="364"/>
      <c r="AA61" s="326"/>
      <c r="AB61" s="363"/>
      <c r="AC61" s="364"/>
      <c r="AD61" s="326"/>
      <c r="AE61" s="363"/>
      <c r="AF61" s="364"/>
      <c r="AG61" s="326"/>
      <c r="AH61" s="363"/>
      <c r="AI61" s="364"/>
      <c r="AJ61" s="334"/>
      <c r="AK61" s="359"/>
      <c r="AM61" s="363"/>
      <c r="AN61" s="364"/>
      <c r="AO61" s="326"/>
      <c r="AP61" s="363"/>
      <c r="AQ61" s="364"/>
      <c r="AR61" s="326"/>
      <c r="AS61" s="363"/>
      <c r="AT61" s="364"/>
      <c r="AU61" s="326"/>
      <c r="AV61" s="363"/>
      <c r="AW61" s="364"/>
      <c r="AX61" s="334"/>
      <c r="AY61" s="359"/>
      <c r="BA61" s="363"/>
      <c r="BB61" s="364"/>
      <c r="BC61" s="326"/>
      <c r="BD61" s="363"/>
      <c r="BE61" s="364"/>
      <c r="BF61" s="326"/>
      <c r="BG61" s="363"/>
      <c r="BH61" s="364"/>
      <c r="BI61" s="326"/>
      <c r="BJ61" s="363"/>
      <c r="BK61" s="364"/>
      <c r="BL61" s="334"/>
      <c r="BM61" s="359"/>
      <c r="BO61" s="363"/>
      <c r="BP61" s="364"/>
      <c r="BQ61" s="326"/>
      <c r="BR61" s="363"/>
      <c r="BS61" s="364"/>
      <c r="BT61" s="326"/>
      <c r="BU61" s="363"/>
      <c r="BV61" s="364"/>
      <c r="BW61" s="326"/>
      <c r="BX61" s="363"/>
      <c r="BY61" s="364"/>
      <c r="BZ61" s="334"/>
      <c r="CA61" s="359"/>
    </row>
    <row r="62" spans="2:79" ht="29.25" customHeight="1" thickBot="1" x14ac:dyDescent="0.25">
      <c r="B62" s="869"/>
      <c r="C62" s="813"/>
      <c r="D62" s="454" t="str">
        <f>+'Plan de Accion 2018'!F44</f>
        <v>Administración y Custodia del Portafolio de Inversión</v>
      </c>
      <c r="E62" s="774"/>
      <c r="F62" s="861"/>
      <c r="G62" s="326"/>
      <c r="H62" s="400">
        <f>+'Plan de Accion 2018'!AD44</f>
        <v>0</v>
      </c>
      <c r="I62" s="337">
        <f>+'Plan de Accion 2018'!BM44</f>
        <v>0</v>
      </c>
      <c r="J62" s="456">
        <f>+'Plan de Accion 2018'!AF44</f>
        <v>0</v>
      </c>
      <c r="K62" s="329"/>
      <c r="L62" s="336">
        <f>+'Plan de Accion 2018'!AN44</f>
        <v>0</v>
      </c>
      <c r="M62" s="337">
        <f>+'Plan de Accion 2018'!BO44</f>
        <v>0</v>
      </c>
      <c r="N62" s="338">
        <f>+'Plan de Accion 2018'!AP44</f>
        <v>0</v>
      </c>
      <c r="O62" s="329"/>
      <c r="P62" s="336">
        <f>+'Plan de Accion 2018'!AX44</f>
        <v>0</v>
      </c>
      <c r="Q62" s="337">
        <f>+'Plan de Accion 2018'!BQ44</f>
        <v>0</v>
      </c>
      <c r="R62" s="338">
        <f>+'Plan de Accion 2018'!AZ44</f>
        <v>0</v>
      </c>
      <c r="S62" s="329"/>
      <c r="T62" s="336">
        <f>+'Plan de Accion 2018'!BH44</f>
        <v>0</v>
      </c>
      <c r="U62" s="337">
        <f>+'Plan de Accion 2018'!BS44</f>
        <v>0</v>
      </c>
      <c r="V62" s="338">
        <f>+'Plan de Accion 2018'!BJ44</f>
        <v>0</v>
      </c>
      <c r="W62" s="360"/>
      <c r="Y62" s="455"/>
      <c r="Z62" s="364"/>
      <c r="AA62" s="326"/>
      <c r="AB62" s="455"/>
      <c r="AC62" s="364"/>
      <c r="AD62" s="326"/>
      <c r="AE62" s="455"/>
      <c r="AF62" s="364"/>
      <c r="AG62" s="326"/>
      <c r="AH62" s="455"/>
      <c r="AI62" s="364"/>
      <c r="AJ62" s="334"/>
      <c r="AK62" s="359"/>
      <c r="AM62" s="455"/>
      <c r="AN62" s="364"/>
      <c r="AO62" s="326"/>
      <c r="AP62" s="455"/>
      <c r="AQ62" s="364"/>
      <c r="AR62" s="326"/>
      <c r="AS62" s="455"/>
      <c r="AT62" s="364"/>
      <c r="AU62" s="326"/>
      <c r="AV62" s="455"/>
      <c r="AW62" s="364"/>
      <c r="AX62" s="334"/>
      <c r="AY62" s="359"/>
      <c r="BA62" s="455"/>
      <c r="BB62" s="364"/>
      <c r="BC62" s="326"/>
      <c r="BD62" s="455"/>
      <c r="BE62" s="364"/>
      <c r="BF62" s="326"/>
      <c r="BG62" s="455"/>
      <c r="BH62" s="364"/>
      <c r="BI62" s="326"/>
      <c r="BJ62" s="455"/>
      <c r="BK62" s="364"/>
      <c r="BL62" s="334"/>
      <c r="BM62" s="359"/>
      <c r="BO62" s="455"/>
      <c r="BP62" s="364"/>
      <c r="BQ62" s="326"/>
      <c r="BR62" s="455"/>
      <c r="BS62" s="364"/>
      <c r="BT62" s="326"/>
      <c r="BU62" s="455"/>
      <c r="BV62" s="364"/>
      <c r="BW62" s="326"/>
      <c r="BX62" s="455"/>
      <c r="BY62" s="364"/>
      <c r="BZ62" s="334"/>
      <c r="CA62" s="359"/>
    </row>
    <row r="63" spans="2:79" ht="15.75" thickBot="1" x14ac:dyDescent="0.25">
      <c r="B63" s="869"/>
      <c r="C63" s="813"/>
      <c r="D63" s="345" t="str">
        <f>+'Plan de Accion 2018'!F42</f>
        <v>Estados Financieros</v>
      </c>
      <c r="E63" s="774"/>
      <c r="F63" s="862"/>
      <c r="G63" s="326"/>
      <c r="H63" s="1082">
        <f>+'Plan de Accion 2018'!AD42</f>
        <v>0.93962306143568719</v>
      </c>
      <c r="I63" s="349">
        <f>+'Plan de Accion 2018'!BM42</f>
        <v>0.93962306143568719</v>
      </c>
      <c r="J63" s="440">
        <f>+'Plan de Accion 2018'!AF42</f>
        <v>0.2349057653589218</v>
      </c>
      <c r="K63" s="329"/>
      <c r="L63" s="348">
        <f>+'Plan de Accion 2018'!AN42</f>
        <v>0</v>
      </c>
      <c r="M63" s="349">
        <f>+'Plan de Accion 2018'!BO42</f>
        <v>0</v>
      </c>
      <c r="N63" s="350">
        <f>+'Plan de Accion 2018'!AP42</f>
        <v>0.2349057653589218</v>
      </c>
      <c r="O63" s="329"/>
      <c r="P63" s="348">
        <f>+'Plan de Accion 2018'!AX42</f>
        <v>0</v>
      </c>
      <c r="Q63" s="349">
        <f>+'Plan de Accion 2018'!BQ42</f>
        <v>0</v>
      </c>
      <c r="R63" s="350">
        <f>+'Plan de Accion 2018'!AZ42</f>
        <v>0.2349057653589218</v>
      </c>
      <c r="S63" s="329"/>
      <c r="T63" s="348">
        <f>+'Plan de Accion 2018'!BH42</f>
        <v>0</v>
      </c>
      <c r="U63" s="349">
        <f>+'Plan de Accion 2018'!BS42</f>
        <v>0</v>
      </c>
      <c r="V63" s="350">
        <f>+'Plan de Accion 2018'!BJ42</f>
        <v>0.2349057653589218</v>
      </c>
      <c r="W63" s="360"/>
      <c r="Y63" s="363"/>
      <c r="Z63" s="364"/>
      <c r="AA63" s="326"/>
      <c r="AB63" s="363"/>
      <c r="AC63" s="364"/>
      <c r="AD63" s="326"/>
      <c r="AE63" s="363"/>
      <c r="AF63" s="364"/>
      <c r="AG63" s="326"/>
      <c r="AH63" s="363"/>
      <c r="AI63" s="364"/>
      <c r="AJ63" s="334"/>
      <c r="AK63" s="359"/>
      <c r="AM63" s="363"/>
      <c r="AN63" s="364"/>
      <c r="AO63" s="326"/>
      <c r="AP63" s="363"/>
      <c r="AQ63" s="364"/>
      <c r="AR63" s="326"/>
      <c r="AS63" s="363"/>
      <c r="AT63" s="364"/>
      <c r="AU63" s="326"/>
      <c r="AV63" s="363"/>
      <c r="AW63" s="364"/>
      <c r="AX63" s="334"/>
      <c r="AY63" s="359"/>
      <c r="BA63" s="363"/>
      <c r="BB63" s="364"/>
      <c r="BC63" s="326"/>
      <c r="BD63" s="363"/>
      <c r="BE63" s="364"/>
      <c r="BF63" s="326"/>
      <c r="BG63" s="363"/>
      <c r="BH63" s="364"/>
      <c r="BI63" s="326"/>
      <c r="BJ63" s="363"/>
      <c r="BK63" s="364"/>
      <c r="BL63" s="334"/>
      <c r="BM63" s="359"/>
      <c r="BO63" s="363"/>
      <c r="BP63" s="364"/>
      <c r="BQ63" s="326"/>
      <c r="BR63" s="363"/>
      <c r="BS63" s="364"/>
      <c r="BT63" s="326"/>
      <c r="BU63" s="363"/>
      <c r="BV63" s="364"/>
      <c r="BW63" s="326"/>
      <c r="BX63" s="363"/>
      <c r="BY63" s="364"/>
      <c r="BZ63" s="334"/>
      <c r="CA63" s="359"/>
    </row>
    <row r="64" spans="2:79" ht="20.25" thickBot="1" x14ac:dyDescent="0.3">
      <c r="B64" s="870"/>
      <c r="C64" s="814" t="s">
        <v>798</v>
      </c>
      <c r="D64" s="815"/>
      <c r="E64" s="815"/>
      <c r="F64" s="816"/>
      <c r="G64" s="366"/>
      <c r="H64" s="367" t="s">
        <v>792</v>
      </c>
      <c r="I64" s="353">
        <f>SUM(I37:I63)/COUNT(I37:I63)</f>
        <v>1.0736742293367461</v>
      </c>
      <c r="J64" s="355">
        <f>SUM(J37:J63)/COUNT(J37:J63)</f>
        <v>0.1929434538522076</v>
      </c>
      <c r="K64" s="368"/>
      <c r="L64" s="367" t="s">
        <v>792</v>
      </c>
      <c r="M64" s="353">
        <f>SUM(M37:M63)/COUNT(M37:M63)</f>
        <v>0</v>
      </c>
      <c r="N64" s="355">
        <f>SUM(N37:N63)/COUNT(N37:N63)</f>
        <v>0.1929434538522076</v>
      </c>
      <c r="O64" s="368"/>
      <c r="P64" s="367" t="s">
        <v>792</v>
      </c>
      <c r="Q64" s="353">
        <f>SUM(Q37:Q63)/COUNT(Q37:Q63)</f>
        <v>0</v>
      </c>
      <c r="R64" s="355">
        <f>SUM(R37:R63)/COUNT(R37:R63)</f>
        <v>0.19470110867470969</v>
      </c>
      <c r="S64" s="368"/>
      <c r="T64" s="367" t="s">
        <v>792</v>
      </c>
      <c r="U64" s="353">
        <f>SUM(U37:U63)/COUNT(U37:U63)</f>
        <v>0</v>
      </c>
      <c r="V64" s="355">
        <f>SUM(V37:V63)/COUNT(V37:V63)</f>
        <v>0.1929434538522076</v>
      </c>
      <c r="W64" s="360"/>
      <c r="Y64" s="363"/>
      <c r="Z64" s="364"/>
      <c r="AA64" s="326"/>
      <c r="AB64" s="363"/>
      <c r="AC64" s="364"/>
      <c r="AD64" s="326"/>
      <c r="AE64" s="363"/>
      <c r="AF64" s="364"/>
      <c r="AG64" s="326"/>
      <c r="AH64" s="363"/>
      <c r="AI64" s="364"/>
      <c r="AJ64" s="334"/>
      <c r="AK64" s="359"/>
      <c r="AM64" s="363"/>
      <c r="AN64" s="364"/>
      <c r="AO64" s="326"/>
      <c r="AP64" s="363"/>
      <c r="AQ64" s="364"/>
      <c r="AR64" s="326"/>
      <c r="AS64" s="363"/>
      <c r="AT64" s="364"/>
      <c r="AU64" s="326"/>
      <c r="AV64" s="363"/>
      <c r="AW64" s="364"/>
      <c r="AX64" s="334"/>
      <c r="AY64" s="359"/>
      <c r="BA64" s="363"/>
      <c r="BB64" s="364"/>
      <c r="BC64" s="326"/>
      <c r="BD64" s="363"/>
      <c r="BE64" s="364"/>
      <c r="BF64" s="326"/>
      <c r="BG64" s="363"/>
      <c r="BH64" s="364"/>
      <c r="BI64" s="326"/>
      <c r="BJ64" s="363"/>
      <c r="BK64" s="364"/>
      <c r="BL64" s="334"/>
      <c r="BM64" s="359"/>
      <c r="BO64" s="363"/>
      <c r="BP64" s="364"/>
      <c r="BQ64" s="326"/>
      <c r="BR64" s="363"/>
      <c r="BS64" s="364"/>
      <c r="BT64" s="326"/>
      <c r="BU64" s="363"/>
      <c r="BV64" s="364"/>
      <c r="BW64" s="326"/>
      <c r="BX64" s="363"/>
      <c r="BY64" s="364"/>
      <c r="BZ64" s="334"/>
      <c r="CA64" s="359"/>
    </row>
    <row r="65" spans="2:79" ht="29.25" thickBot="1" x14ac:dyDescent="0.3">
      <c r="B65" s="869"/>
      <c r="C65" s="775" t="s">
        <v>147</v>
      </c>
      <c r="D65" s="369" t="str">
        <f>+'Plan de Accion 2018'!F80</f>
        <v>Adquisición de infraestructura tecnológica</v>
      </c>
      <c r="E65" s="778" t="str">
        <f>+'Plan de Accion 2018'!B80</f>
        <v>Dirección de Gestión de Tecnología de la Información y la Comunicación</v>
      </c>
      <c r="F65" s="370" t="str">
        <f>+'Plan de Accion 2018'!R80</f>
        <v>(Valor pagado / (Valor programado-penalizaciones))</v>
      </c>
      <c r="G65" s="342"/>
      <c r="H65" s="327">
        <f>+'Plan de Accion 2018'!AA80</f>
        <v>9.7743683943246243E-2</v>
      </c>
      <c r="I65" s="328">
        <f>+'Plan de Accion 2018'!BM80</f>
        <v>0.75187449187112487</v>
      </c>
      <c r="J65" s="330">
        <f>+'Plan de Accion 2018'!AF80</f>
        <v>9.9397035680991355E-2</v>
      </c>
      <c r="K65" s="344"/>
      <c r="L65" s="327">
        <f>+'Plan de Accion 2018'!AK80</f>
        <v>0</v>
      </c>
      <c r="M65" s="328">
        <f>+'Plan de Accion 2018'!BO372</f>
        <v>0</v>
      </c>
      <c r="N65" s="330">
        <f>+'Plan de Accion 2018'!AP80</f>
        <v>9.9397035680991355E-2</v>
      </c>
      <c r="O65" s="344"/>
      <c r="P65" s="327">
        <f>+'Plan de Accion 2018'!AU80</f>
        <v>0</v>
      </c>
      <c r="Q65" s="328">
        <f>+'Plan de Accion 2018'!BQ80</f>
        <v>0</v>
      </c>
      <c r="R65" s="330">
        <f>+'Plan de Accion 2018'!AZ80</f>
        <v>9.9397035680991355E-2</v>
      </c>
      <c r="S65" s="344"/>
      <c r="T65" s="327">
        <f>+'Plan de Accion 2018'!BE80</f>
        <v>0</v>
      </c>
      <c r="U65" s="328">
        <f>+'Plan de Accion 2018'!BS80</f>
        <v>0</v>
      </c>
      <c r="V65" s="330">
        <f>+'Plan de Accion 2018'!BJ80</f>
        <v>9.9397035680991355E-2</v>
      </c>
      <c r="W65" s="371"/>
      <c r="X65" s="372"/>
      <c r="Y65" s="373"/>
      <c r="Z65" s="374"/>
      <c r="AA65" s="375"/>
      <c r="AB65" s="373"/>
      <c r="AC65" s="374"/>
      <c r="AD65" s="375"/>
      <c r="AE65" s="373"/>
      <c r="AF65" s="374"/>
      <c r="AG65" s="375"/>
      <c r="AH65" s="373"/>
      <c r="AI65" s="374"/>
      <c r="AJ65" s="376"/>
      <c r="AK65" s="377"/>
      <c r="AL65" s="376"/>
      <c r="AM65" s="373"/>
      <c r="AN65" s="374"/>
      <c r="AO65" s="375"/>
      <c r="AP65" s="373"/>
      <c r="AQ65" s="374"/>
      <c r="AR65" s="375"/>
      <c r="AS65" s="373"/>
      <c r="AT65" s="374"/>
      <c r="AU65" s="375"/>
      <c r="AV65" s="373"/>
      <c r="AW65" s="374"/>
      <c r="AX65" s="376"/>
      <c r="AY65" s="377"/>
      <c r="BA65" s="373"/>
      <c r="BB65" s="374"/>
      <c r="BC65" s="375"/>
      <c r="BD65" s="373"/>
      <c r="BE65" s="374"/>
      <c r="BF65" s="375"/>
      <c r="BG65" s="373"/>
      <c r="BH65" s="374"/>
      <c r="BI65" s="375"/>
      <c r="BJ65" s="373"/>
      <c r="BK65" s="374"/>
      <c r="BL65" s="376"/>
      <c r="BM65" s="377"/>
      <c r="BO65" s="373"/>
      <c r="BP65" s="374"/>
      <c r="BQ65" s="375"/>
      <c r="BR65" s="373"/>
      <c r="BS65" s="374"/>
      <c r="BT65" s="375"/>
      <c r="BU65" s="373"/>
      <c r="BV65" s="374"/>
      <c r="BW65" s="375"/>
      <c r="BX65" s="373"/>
      <c r="BY65" s="374"/>
      <c r="BZ65" s="376"/>
      <c r="CA65" s="377"/>
    </row>
    <row r="66" spans="2:79" ht="29.25" thickBot="1" x14ac:dyDescent="0.3">
      <c r="B66" s="869"/>
      <c r="C66" s="776"/>
      <c r="D66" s="339" t="str">
        <f>+'Plan de Accion 2018'!F81</f>
        <v>Renovación de licencias</v>
      </c>
      <c r="E66" s="773"/>
      <c r="F66" s="365" t="str">
        <f>+'Plan de Accion 2018'!R81</f>
        <v>Valor pagado / Valor programado</v>
      </c>
      <c r="G66" s="342"/>
      <c r="H66" s="336">
        <f>+'Plan de Accion 2018'!AA81</f>
        <v>0</v>
      </c>
      <c r="I66" s="337" t="str">
        <f>+'Plan de Accion 2018'!BM81</f>
        <v>No Prog ni Ejec</v>
      </c>
      <c r="J66" s="337">
        <f>+'Plan de Accion 2018'!AF81</f>
        <v>0</v>
      </c>
      <c r="K66" s="344"/>
      <c r="L66" s="336">
        <f>+'Plan de Accion 2018'!AK81</f>
        <v>0</v>
      </c>
      <c r="M66" s="337">
        <f>+'Plan de Accion 2018'!BO373</f>
        <v>0</v>
      </c>
      <c r="N66" s="338">
        <f>+'Plan de Accion 2018'!AP81</f>
        <v>0</v>
      </c>
      <c r="O66" s="344"/>
      <c r="P66" s="336">
        <f>+'Plan de Accion 2018'!AU81</f>
        <v>0</v>
      </c>
      <c r="Q66" s="337">
        <f>+'Plan de Accion 2018'!BQ81</f>
        <v>0</v>
      </c>
      <c r="R66" s="338">
        <f>+'Plan de Accion 2018'!AZ81</f>
        <v>0</v>
      </c>
      <c r="S66" s="344"/>
      <c r="T66" s="336">
        <f>+'Plan de Accion 2018'!BE81</f>
        <v>0</v>
      </c>
      <c r="U66" s="337">
        <f>+'Plan de Accion 2018'!BS81</f>
        <v>0</v>
      </c>
      <c r="V66" s="338">
        <f>+'Plan de Accion 2018'!BJ81</f>
        <v>0</v>
      </c>
      <c r="W66" s="371"/>
      <c r="X66" s="372"/>
      <c r="Y66" s="373"/>
      <c r="Z66" s="374"/>
      <c r="AA66" s="375"/>
      <c r="AB66" s="373"/>
      <c r="AC66" s="374"/>
      <c r="AD66" s="375"/>
      <c r="AE66" s="373"/>
      <c r="AF66" s="374"/>
      <c r="AG66" s="375"/>
      <c r="AH66" s="373"/>
      <c r="AI66" s="374"/>
      <c r="AJ66" s="376"/>
      <c r="AK66" s="377"/>
      <c r="AL66" s="376"/>
      <c r="AM66" s="373"/>
      <c r="AN66" s="374"/>
      <c r="AO66" s="375"/>
      <c r="AP66" s="373"/>
      <c r="AQ66" s="374"/>
      <c r="AR66" s="375"/>
      <c r="AS66" s="373"/>
      <c r="AT66" s="374"/>
      <c r="AU66" s="375"/>
      <c r="AV66" s="373"/>
      <c r="AW66" s="374"/>
      <c r="AX66" s="376"/>
      <c r="AY66" s="377"/>
      <c r="BA66" s="373"/>
      <c r="BB66" s="374"/>
      <c r="BC66" s="375"/>
      <c r="BD66" s="373"/>
      <c r="BE66" s="374"/>
      <c r="BF66" s="375"/>
      <c r="BG66" s="373"/>
      <c r="BH66" s="374"/>
      <c r="BI66" s="375"/>
      <c r="BJ66" s="373"/>
      <c r="BK66" s="374"/>
      <c r="BL66" s="376"/>
      <c r="BM66" s="377"/>
      <c r="BO66" s="373"/>
      <c r="BP66" s="374"/>
      <c r="BQ66" s="375"/>
      <c r="BR66" s="373"/>
      <c r="BS66" s="374"/>
      <c r="BT66" s="375"/>
      <c r="BU66" s="373"/>
      <c r="BV66" s="374"/>
      <c r="BW66" s="375"/>
      <c r="BX66" s="373"/>
      <c r="BY66" s="374"/>
      <c r="BZ66" s="376"/>
      <c r="CA66" s="377"/>
    </row>
    <row r="67" spans="2:79" ht="43.5" thickBot="1" x14ac:dyDescent="0.3">
      <c r="B67" s="869"/>
      <c r="C67" s="776"/>
      <c r="D67" s="339" t="str">
        <f>+'Plan de Accion 2018'!F82</f>
        <v>Adquisición de bienes y/o servicios para la seguridad de la información</v>
      </c>
      <c r="E67" s="773"/>
      <c r="F67" s="365" t="str">
        <f>+'Plan de Accion 2018'!R82</f>
        <v>(Valor pagado / (Valor programado-penalizaciones))</v>
      </c>
      <c r="G67" s="342"/>
      <c r="H67" s="336">
        <f>+'Plan de Accion 2018'!AA82</f>
        <v>0</v>
      </c>
      <c r="I67" s="337" t="str">
        <f>+'Plan de Accion 2018'!BM82</f>
        <v>No Prog ni Ejec</v>
      </c>
      <c r="J67" s="330">
        <f>+'Plan de Accion 2018'!AF82</f>
        <v>0</v>
      </c>
      <c r="K67" s="344"/>
      <c r="L67" s="336">
        <f>+'Plan de Accion 2018'!AK82</f>
        <v>0</v>
      </c>
      <c r="M67" s="337">
        <f>+'Plan de Accion 2018'!BO374</f>
        <v>0</v>
      </c>
      <c r="N67" s="338">
        <f>+'Plan de Accion 2018'!AP82</f>
        <v>0</v>
      </c>
      <c r="O67" s="344"/>
      <c r="P67" s="336">
        <f>+'Plan de Accion 2018'!AU82</f>
        <v>0</v>
      </c>
      <c r="Q67" s="337">
        <f>+'Plan de Accion 2018'!BQ82</f>
        <v>0</v>
      </c>
      <c r="R67" s="338">
        <f>+'Plan de Accion 2018'!AZ82</f>
        <v>0</v>
      </c>
      <c r="S67" s="344"/>
      <c r="T67" s="336">
        <f>+'Plan de Accion 2018'!BE82</f>
        <v>0</v>
      </c>
      <c r="U67" s="337">
        <f>+'Plan de Accion 2018'!BS82</f>
        <v>0</v>
      </c>
      <c r="V67" s="338">
        <f>+'Plan de Accion 2018'!BJ82</f>
        <v>0</v>
      </c>
      <c r="W67" s="371"/>
      <c r="X67" s="372"/>
      <c r="Y67" s="373"/>
      <c r="Z67" s="374"/>
      <c r="AA67" s="375"/>
      <c r="AB67" s="373"/>
      <c r="AC67" s="374"/>
      <c r="AD67" s="375"/>
      <c r="AE67" s="373"/>
      <c r="AF67" s="374"/>
      <c r="AG67" s="375"/>
      <c r="AH67" s="373"/>
      <c r="AI67" s="374"/>
      <c r="AJ67" s="376"/>
      <c r="AK67" s="377"/>
      <c r="AL67" s="376"/>
      <c r="AM67" s="373"/>
      <c r="AN67" s="374"/>
      <c r="AO67" s="375"/>
      <c r="AP67" s="373"/>
      <c r="AQ67" s="374"/>
      <c r="AR67" s="375"/>
      <c r="AS67" s="373"/>
      <c r="AT67" s="374"/>
      <c r="AU67" s="375"/>
      <c r="AV67" s="373"/>
      <c r="AW67" s="374"/>
      <c r="AX67" s="376"/>
      <c r="AY67" s="377"/>
      <c r="BA67" s="373"/>
      <c r="BB67" s="374"/>
      <c r="BC67" s="375"/>
      <c r="BD67" s="373"/>
      <c r="BE67" s="374"/>
      <c r="BF67" s="375"/>
      <c r="BG67" s="373"/>
      <c r="BH67" s="374"/>
      <c r="BI67" s="375"/>
      <c r="BJ67" s="373"/>
      <c r="BK67" s="374"/>
      <c r="BL67" s="376"/>
      <c r="BM67" s="377"/>
      <c r="BO67" s="373"/>
      <c r="BP67" s="374"/>
      <c r="BQ67" s="375"/>
      <c r="BR67" s="373"/>
      <c r="BS67" s="374"/>
      <c r="BT67" s="375"/>
      <c r="BU67" s="373"/>
      <c r="BV67" s="374"/>
      <c r="BW67" s="375"/>
      <c r="BX67" s="373"/>
      <c r="BY67" s="374"/>
      <c r="BZ67" s="376"/>
      <c r="CA67" s="377"/>
    </row>
    <row r="68" spans="2:79" ht="20.25" thickBot="1" x14ac:dyDescent="0.3">
      <c r="B68" s="869"/>
      <c r="C68" s="776"/>
      <c r="D68" s="339" t="str">
        <f>+'Plan de Accion 2018'!F85</f>
        <v>Brindar Soporte a usuario interno</v>
      </c>
      <c r="E68" s="773"/>
      <c r="F68" s="863" t="str">
        <f>+'Plan de Accion 2018'!R85</f>
        <v>Valor pagado / Valor programado</v>
      </c>
      <c r="G68" s="342"/>
      <c r="H68" s="336">
        <f>+'Plan de Accion 2018'!AA85</f>
        <v>0.22222222222222221</v>
      </c>
      <c r="I68" s="337">
        <f>+'Plan de Accion 2018'!BM85</f>
        <v>0.88888888888888884</v>
      </c>
      <c r="J68" s="330">
        <f>+'Plan de Accion 2018'!AF85</f>
        <v>0.22222222222222221</v>
      </c>
      <c r="K68" s="344"/>
      <c r="L68" s="336">
        <f>+'Plan de Accion 2018'!AK85</f>
        <v>0</v>
      </c>
      <c r="M68" s="337">
        <f>+'Plan de Accion 2018'!BO377</f>
        <v>0</v>
      </c>
      <c r="N68" s="338">
        <f>+'Plan de Accion 2018'!AP85</f>
        <v>0.22222222222222221</v>
      </c>
      <c r="O68" s="344"/>
      <c r="P68" s="336">
        <f>+'Plan de Accion 2018'!AU85</f>
        <v>0</v>
      </c>
      <c r="Q68" s="337">
        <f>+'Plan de Accion 2018'!BQ85</f>
        <v>0</v>
      </c>
      <c r="R68" s="338">
        <f>+'Plan de Accion 2018'!AZ85</f>
        <v>0.22222222222222221</v>
      </c>
      <c r="S68" s="344"/>
      <c r="T68" s="336">
        <f>+'Plan de Accion 2018'!BE85</f>
        <v>0</v>
      </c>
      <c r="U68" s="337">
        <f>+'Plan de Accion 2018'!BS85</f>
        <v>0</v>
      </c>
      <c r="V68" s="338">
        <f>+'Plan de Accion 2018'!BJ85</f>
        <v>0.22222222222222221</v>
      </c>
      <c r="W68" s="371"/>
      <c r="X68" s="372"/>
      <c r="Y68" s="373"/>
      <c r="Z68" s="374"/>
      <c r="AA68" s="375"/>
      <c r="AB68" s="373"/>
      <c r="AC68" s="374"/>
      <c r="AD68" s="375"/>
      <c r="AE68" s="373"/>
      <c r="AF68" s="374"/>
      <c r="AG68" s="375"/>
      <c r="AH68" s="373"/>
      <c r="AI68" s="374"/>
      <c r="AJ68" s="376"/>
      <c r="AK68" s="377"/>
      <c r="AL68" s="376"/>
      <c r="AM68" s="373"/>
      <c r="AN68" s="374"/>
      <c r="AO68" s="375"/>
      <c r="AP68" s="373"/>
      <c r="AQ68" s="374"/>
      <c r="AR68" s="375"/>
      <c r="AS68" s="373"/>
      <c r="AT68" s="374"/>
      <c r="AU68" s="375"/>
      <c r="AV68" s="373"/>
      <c r="AW68" s="374"/>
      <c r="AX68" s="376"/>
      <c r="AY68" s="377"/>
      <c r="BA68" s="373"/>
      <c r="BB68" s="374"/>
      <c r="BC68" s="375"/>
      <c r="BD68" s="373"/>
      <c r="BE68" s="374"/>
      <c r="BF68" s="375"/>
      <c r="BG68" s="373"/>
      <c r="BH68" s="374"/>
      <c r="BI68" s="375"/>
      <c r="BJ68" s="373"/>
      <c r="BK68" s="374"/>
      <c r="BL68" s="376"/>
      <c r="BM68" s="377"/>
      <c r="BO68" s="373"/>
      <c r="BP68" s="374"/>
      <c r="BQ68" s="375"/>
      <c r="BR68" s="373"/>
      <c r="BS68" s="374"/>
      <c r="BT68" s="375"/>
      <c r="BU68" s="373"/>
      <c r="BV68" s="374"/>
      <c r="BW68" s="375"/>
      <c r="BX68" s="373"/>
      <c r="BY68" s="374"/>
      <c r="BZ68" s="376"/>
      <c r="CA68" s="377"/>
    </row>
    <row r="69" spans="2:79" ht="20.25" thickBot="1" x14ac:dyDescent="0.3">
      <c r="B69" s="869"/>
      <c r="C69" s="776"/>
      <c r="D69" s="339" t="str">
        <f>+'Plan de Accion 2018'!F86</f>
        <v>Brindar Soporte al procesos BDUA</v>
      </c>
      <c r="E69" s="773"/>
      <c r="F69" s="864"/>
      <c r="G69" s="342"/>
      <c r="H69" s="336">
        <f>+'Plan de Accion 2018'!AA86</f>
        <v>0.22222222222222221</v>
      </c>
      <c r="I69" s="337">
        <f>+'Plan de Accion 2018'!BM86</f>
        <v>0.88888888888888884</v>
      </c>
      <c r="J69" s="330">
        <f>+'Plan de Accion 2018'!AF86</f>
        <v>0.22222222222222221</v>
      </c>
      <c r="K69" s="344"/>
      <c r="L69" s="336">
        <f>+'Plan de Accion 2018'!AK86</f>
        <v>0</v>
      </c>
      <c r="M69" s="337">
        <f>+'Plan de Accion 2018'!BO378</f>
        <v>0</v>
      </c>
      <c r="N69" s="338">
        <f>+'Plan de Accion 2018'!AP86</f>
        <v>0.22222222222222221</v>
      </c>
      <c r="O69" s="344"/>
      <c r="P69" s="336">
        <f>+'Plan de Accion 2018'!AU86</f>
        <v>0</v>
      </c>
      <c r="Q69" s="337">
        <f>+'Plan de Accion 2018'!BQ86</f>
        <v>0</v>
      </c>
      <c r="R69" s="338">
        <f>+'Plan de Accion 2018'!AZ86</f>
        <v>0.22222222222222221</v>
      </c>
      <c r="S69" s="344"/>
      <c r="T69" s="336">
        <f>+'Plan de Accion 2018'!BE86</f>
        <v>0</v>
      </c>
      <c r="U69" s="337">
        <f>+'Plan de Accion 2018'!BS86</f>
        <v>0</v>
      </c>
      <c r="V69" s="338">
        <f>+'Plan de Accion 2018'!BJ86</f>
        <v>0.22222222222222221</v>
      </c>
      <c r="W69" s="371"/>
      <c r="X69" s="372"/>
      <c r="Y69" s="373"/>
      <c r="Z69" s="374"/>
      <c r="AA69" s="375"/>
      <c r="AB69" s="373"/>
      <c r="AC69" s="374"/>
      <c r="AD69" s="375"/>
      <c r="AE69" s="373"/>
      <c r="AF69" s="374"/>
      <c r="AG69" s="375"/>
      <c r="AH69" s="373"/>
      <c r="AI69" s="374"/>
      <c r="AJ69" s="376"/>
      <c r="AK69" s="377"/>
      <c r="AL69" s="376"/>
      <c r="AM69" s="373"/>
      <c r="AN69" s="374"/>
      <c r="AO69" s="375"/>
      <c r="AP69" s="373"/>
      <c r="AQ69" s="374"/>
      <c r="AR69" s="375"/>
      <c r="AS69" s="373"/>
      <c r="AT69" s="374"/>
      <c r="AU69" s="375"/>
      <c r="AV69" s="373"/>
      <c r="AW69" s="374"/>
      <c r="AX69" s="376"/>
      <c r="AY69" s="377"/>
      <c r="BA69" s="373"/>
      <c r="BB69" s="374"/>
      <c r="BC69" s="375"/>
      <c r="BD69" s="373"/>
      <c r="BE69" s="374"/>
      <c r="BF69" s="375"/>
      <c r="BG69" s="373"/>
      <c r="BH69" s="374"/>
      <c r="BI69" s="375"/>
      <c r="BJ69" s="373"/>
      <c r="BK69" s="374"/>
      <c r="BL69" s="376"/>
      <c r="BM69" s="377"/>
      <c r="BO69" s="373"/>
      <c r="BP69" s="374"/>
      <c r="BQ69" s="375"/>
      <c r="BR69" s="373"/>
      <c r="BS69" s="374"/>
      <c r="BT69" s="375"/>
      <c r="BU69" s="373"/>
      <c r="BV69" s="374"/>
      <c r="BW69" s="375"/>
      <c r="BX69" s="373"/>
      <c r="BY69" s="374"/>
      <c r="BZ69" s="376"/>
      <c r="CA69" s="377"/>
    </row>
    <row r="70" spans="2:79" ht="43.5" thickBot="1" x14ac:dyDescent="0.3">
      <c r="B70" s="869"/>
      <c r="C70" s="776"/>
      <c r="D70" s="339" t="str">
        <f>+'Plan de Accion 2018'!F87</f>
        <v>Brindar Soporte a los sistemas de información que respaldan los procesos misionales de ADRES</v>
      </c>
      <c r="E70" s="773"/>
      <c r="F70" s="865"/>
      <c r="G70" s="342"/>
      <c r="H70" s="336">
        <f>+'Plan de Accion 2018'!AA87</f>
        <v>4.3630629828138479E-2</v>
      </c>
      <c r="I70" s="337">
        <f>+'Plan de Accion 2018'!BM87</f>
        <v>0.17452251931255391</v>
      </c>
      <c r="J70" s="330">
        <f>+'Plan de Accion 2018'!AF87</f>
        <v>4.3630629828138479E-2</v>
      </c>
      <c r="K70" s="344"/>
      <c r="L70" s="336">
        <f>+'Plan de Accion 2018'!AK87</f>
        <v>0</v>
      </c>
      <c r="M70" s="337">
        <f>+'Plan de Accion 2018'!BO379</f>
        <v>0</v>
      </c>
      <c r="N70" s="338">
        <f>+'Plan de Accion 2018'!AP87</f>
        <v>4.3630629828138479E-2</v>
      </c>
      <c r="O70" s="344"/>
      <c r="P70" s="336">
        <f>+'Plan de Accion 2018'!AU87</f>
        <v>0</v>
      </c>
      <c r="Q70" s="337">
        <f>+'Plan de Accion 2018'!BQ87</f>
        <v>0</v>
      </c>
      <c r="R70" s="338">
        <f>+'Plan de Accion 2018'!AZ87</f>
        <v>4.3630629828138479E-2</v>
      </c>
      <c r="S70" s="344"/>
      <c r="T70" s="336">
        <f>+'Plan de Accion 2018'!BE87</f>
        <v>0</v>
      </c>
      <c r="U70" s="337">
        <f>+'Plan de Accion 2018'!BS87</f>
        <v>0</v>
      </c>
      <c r="V70" s="338">
        <f>+'Plan de Accion 2018'!BJ87</f>
        <v>4.3630629828138479E-2</v>
      </c>
      <c r="W70" s="371"/>
      <c r="X70" s="372"/>
      <c r="Y70" s="373"/>
      <c r="Z70" s="374"/>
      <c r="AA70" s="375"/>
      <c r="AB70" s="373"/>
      <c r="AC70" s="374"/>
      <c r="AD70" s="375"/>
      <c r="AE70" s="373"/>
      <c r="AF70" s="374"/>
      <c r="AG70" s="375"/>
      <c r="AH70" s="373"/>
      <c r="AI70" s="374"/>
      <c r="AJ70" s="376"/>
      <c r="AK70" s="377"/>
      <c r="AL70" s="376"/>
      <c r="AM70" s="373"/>
      <c r="AN70" s="374"/>
      <c r="AO70" s="375"/>
      <c r="AP70" s="373"/>
      <c r="AQ70" s="374"/>
      <c r="AR70" s="375"/>
      <c r="AS70" s="373"/>
      <c r="AT70" s="374"/>
      <c r="AU70" s="375"/>
      <c r="AV70" s="373"/>
      <c r="AW70" s="374"/>
      <c r="AX70" s="376"/>
      <c r="AY70" s="377"/>
      <c r="BA70" s="373"/>
      <c r="BB70" s="374"/>
      <c r="BC70" s="375"/>
      <c r="BD70" s="373"/>
      <c r="BE70" s="374"/>
      <c r="BF70" s="375"/>
      <c r="BG70" s="373"/>
      <c r="BH70" s="374"/>
      <c r="BI70" s="375"/>
      <c r="BJ70" s="373"/>
      <c r="BK70" s="374"/>
      <c r="BL70" s="376"/>
      <c r="BM70" s="377"/>
      <c r="BO70" s="373"/>
      <c r="BP70" s="374"/>
      <c r="BQ70" s="375"/>
      <c r="BR70" s="373"/>
      <c r="BS70" s="374"/>
      <c r="BT70" s="375"/>
      <c r="BU70" s="373"/>
      <c r="BV70" s="374"/>
      <c r="BW70" s="375"/>
      <c r="BX70" s="373"/>
      <c r="BY70" s="374"/>
      <c r="BZ70" s="376"/>
      <c r="CA70" s="377"/>
    </row>
    <row r="71" spans="2:79" ht="29.25" thickBot="1" x14ac:dyDescent="0.3">
      <c r="B71" s="869"/>
      <c r="C71" s="776"/>
      <c r="D71" s="339" t="str">
        <f>+'Plan de Accion 2018'!F88</f>
        <v xml:space="preserve">Arrendamiento de Equipos de Computo </v>
      </c>
      <c r="E71" s="773"/>
      <c r="F71" s="365" t="str">
        <f>+'Plan de Accion 2018'!R88</f>
        <v>(Valor pagado / (Valor programado-penalizaciones))</v>
      </c>
      <c r="G71" s="342"/>
      <c r="H71" s="336">
        <f>+'Plan de Accion 2018'!AA88</f>
        <v>0.12409059904788024</v>
      </c>
      <c r="I71" s="337">
        <f>+'Plan de Accion 2018'!BM88</f>
        <v>0.49636239619152095</v>
      </c>
      <c r="J71" s="330">
        <f>+'Plan de Accion 2018'!AF88</f>
        <v>0.12409059904788024</v>
      </c>
      <c r="K71" s="344"/>
      <c r="L71" s="336">
        <f>+'Plan de Accion 2018'!AK88</f>
        <v>0</v>
      </c>
      <c r="M71" s="337">
        <f>+'Plan de Accion 2018'!BO380</f>
        <v>0</v>
      </c>
      <c r="N71" s="338">
        <f>+'Plan de Accion 2018'!AP88</f>
        <v>0.12409059904788024</v>
      </c>
      <c r="O71" s="344"/>
      <c r="P71" s="336">
        <f>+'Plan de Accion 2018'!AU88</f>
        <v>0</v>
      </c>
      <c r="Q71" s="337">
        <f>+'Plan de Accion 2018'!BQ88</f>
        <v>0</v>
      </c>
      <c r="R71" s="338">
        <f>+'Plan de Accion 2018'!AZ88</f>
        <v>0.12409059904788024</v>
      </c>
      <c r="S71" s="344"/>
      <c r="T71" s="336">
        <f>+'Plan de Accion 2018'!BE88</f>
        <v>0</v>
      </c>
      <c r="U71" s="337">
        <f>+'Plan de Accion 2018'!BS88</f>
        <v>0</v>
      </c>
      <c r="V71" s="338">
        <f>+'Plan de Accion 2018'!BJ88</f>
        <v>0.12409059904788024</v>
      </c>
      <c r="W71" s="371"/>
      <c r="X71" s="372"/>
      <c r="Y71" s="373"/>
      <c r="Z71" s="374"/>
      <c r="AA71" s="375"/>
      <c r="AB71" s="373"/>
      <c r="AC71" s="374"/>
      <c r="AD71" s="375"/>
      <c r="AE71" s="373"/>
      <c r="AF71" s="374"/>
      <c r="AG71" s="375"/>
      <c r="AH71" s="373"/>
      <c r="AI71" s="374"/>
      <c r="AJ71" s="376"/>
      <c r="AK71" s="377"/>
      <c r="AL71" s="376"/>
      <c r="AM71" s="373"/>
      <c r="AN71" s="374"/>
      <c r="AO71" s="375"/>
      <c r="AP71" s="373"/>
      <c r="AQ71" s="374"/>
      <c r="AR71" s="375"/>
      <c r="AS71" s="373"/>
      <c r="AT71" s="374"/>
      <c r="AU71" s="375"/>
      <c r="AV71" s="373"/>
      <c r="AW71" s="374"/>
      <c r="AX71" s="376"/>
      <c r="AY71" s="377"/>
      <c r="BA71" s="373"/>
      <c r="BB71" s="374"/>
      <c r="BC71" s="375"/>
      <c r="BD71" s="373"/>
      <c r="BE71" s="374"/>
      <c r="BF71" s="375"/>
      <c r="BG71" s="373"/>
      <c r="BH71" s="374"/>
      <c r="BI71" s="375"/>
      <c r="BJ71" s="373"/>
      <c r="BK71" s="374"/>
      <c r="BL71" s="376"/>
      <c r="BM71" s="377"/>
      <c r="BO71" s="373"/>
      <c r="BP71" s="374"/>
      <c r="BQ71" s="375"/>
      <c r="BR71" s="373"/>
      <c r="BS71" s="374"/>
      <c r="BT71" s="375"/>
      <c r="BU71" s="373"/>
      <c r="BV71" s="374"/>
      <c r="BW71" s="375"/>
      <c r="BX71" s="373"/>
      <c r="BY71" s="374"/>
      <c r="BZ71" s="376"/>
      <c r="CA71" s="377"/>
    </row>
    <row r="72" spans="2:79" ht="114.75" thickBot="1" x14ac:dyDescent="0.3">
      <c r="B72" s="869"/>
      <c r="C72" s="776"/>
      <c r="D72" s="339" t="str">
        <f>+'Plan de Accion 2018'!F83</f>
        <v>Implementar estrategias, instrumentos y herramientas con aplicación de tecnologías de la información y las comunicaciones para brindar de manera constante y permanente un buen servicio al ciudadano y a las entidades del Sector.</v>
      </c>
      <c r="E72" s="773"/>
      <c r="F72" s="860" t="s">
        <v>816</v>
      </c>
      <c r="G72" s="342"/>
      <c r="H72" s="336">
        <f>+'Plan de Accion 2018'!AD83</f>
        <v>0.77640039581520692</v>
      </c>
      <c r="I72" s="337">
        <f>+'Plan de Accion 2018'!BM83</f>
        <v>0.77640039581520692</v>
      </c>
      <c r="J72" s="330">
        <f>+'Plan de Accion 2018'!AF83</f>
        <v>5.434802770706449E-2</v>
      </c>
      <c r="K72" s="329"/>
      <c r="L72" s="336">
        <f>+'Plan de Accion 2018'!AN83</f>
        <v>0</v>
      </c>
      <c r="M72" s="337">
        <f>+'Plan de Accion 2018'!BO83</f>
        <v>0</v>
      </c>
      <c r="N72" s="338">
        <f>+'Plan de Accion 2018'!AP83</f>
        <v>5.434802770706449E-2</v>
      </c>
      <c r="O72" s="329"/>
      <c r="P72" s="336">
        <f>+'Plan de Accion 2018'!AX83</f>
        <v>0</v>
      </c>
      <c r="Q72" s="337">
        <f>+'Plan de Accion 2018'!BQ83</f>
        <v>0</v>
      </c>
      <c r="R72" s="338">
        <f>+'Plan de Accion 2018'!AZ83</f>
        <v>5.434802770706449E-2</v>
      </c>
      <c r="S72" s="329"/>
      <c r="T72" s="336">
        <f>+'Plan de Accion 2018'!BH83</f>
        <v>0</v>
      </c>
      <c r="U72" s="337">
        <f>+'Plan de Accion 2018'!BS83</f>
        <v>0</v>
      </c>
      <c r="V72" s="338">
        <f>+'Plan de Accion 2018'!BJ83</f>
        <v>5.434802770706449E-2</v>
      </c>
      <c r="W72" s="371"/>
      <c r="X72" s="372"/>
      <c r="Y72" s="373"/>
      <c r="Z72" s="374"/>
      <c r="AA72" s="375"/>
      <c r="AB72" s="373"/>
      <c r="AC72" s="374"/>
      <c r="AD72" s="375"/>
      <c r="AE72" s="373"/>
      <c r="AF72" s="374"/>
      <c r="AG72" s="375"/>
      <c r="AH72" s="373"/>
      <c r="AI72" s="374"/>
      <c r="AJ72" s="376"/>
      <c r="AK72" s="377"/>
      <c r="AL72" s="376"/>
      <c r="AM72" s="373"/>
      <c r="AN72" s="374"/>
      <c r="AO72" s="375"/>
      <c r="AP72" s="373"/>
      <c r="AQ72" s="374"/>
      <c r="AR72" s="375"/>
      <c r="AS72" s="373"/>
      <c r="AT72" s="374"/>
      <c r="AU72" s="375"/>
      <c r="AV72" s="373"/>
      <c r="AW72" s="374"/>
      <c r="AX72" s="376"/>
      <c r="AY72" s="377"/>
      <c r="BA72" s="373"/>
      <c r="BB72" s="374"/>
      <c r="BC72" s="375"/>
      <c r="BD72" s="373"/>
      <c r="BE72" s="374"/>
      <c r="BF72" s="375"/>
      <c r="BG72" s="373"/>
      <c r="BH72" s="374"/>
      <c r="BI72" s="375"/>
      <c r="BJ72" s="373"/>
      <c r="BK72" s="374"/>
      <c r="BL72" s="376"/>
      <c r="BM72" s="377"/>
      <c r="BO72" s="373"/>
      <c r="BP72" s="374"/>
      <c r="BQ72" s="375"/>
      <c r="BR72" s="373"/>
      <c r="BS72" s="374"/>
      <c r="BT72" s="375"/>
      <c r="BU72" s="373"/>
      <c r="BV72" s="374"/>
      <c r="BW72" s="375"/>
      <c r="BX72" s="373"/>
      <c r="BY72" s="374"/>
      <c r="BZ72" s="376"/>
      <c r="CA72" s="377"/>
    </row>
    <row r="73" spans="2:79" ht="29.25" thickBot="1" x14ac:dyDescent="0.3">
      <c r="B73" s="869"/>
      <c r="C73" s="777"/>
      <c r="D73" s="345" t="str">
        <f>+'Plan de Accion 2018'!F84</f>
        <v>Desarrollo de nuevos Sistemas de información</v>
      </c>
      <c r="E73" s="774"/>
      <c r="F73" s="862"/>
      <c r="G73" s="342"/>
      <c r="H73" s="348" t="e">
        <f>+'Plan de Accion 2018'!AD84</f>
        <v>#DIV/0!</v>
      </c>
      <c r="I73" s="349" t="str">
        <f>+'Plan de Accion 2018'!BM84</f>
        <v>No Prog ni Ejec</v>
      </c>
      <c r="J73" s="440">
        <f>+'Plan de Accion 2018'!AF84</f>
        <v>0</v>
      </c>
      <c r="K73" s="329"/>
      <c r="L73" s="348" t="e">
        <f>+'Plan de Accion 2018'!AN84</f>
        <v>#DIV/0!</v>
      </c>
      <c r="M73" s="349" t="str">
        <f>+'Plan de Accion 2018'!BO84</f>
        <v>No Prog ni Ejec</v>
      </c>
      <c r="N73" s="350">
        <f>+'Plan de Accion 2018'!AP84</f>
        <v>0</v>
      </c>
      <c r="O73" s="329"/>
      <c r="P73" s="348">
        <f>+'Plan de Accion 2018'!AX84</f>
        <v>0</v>
      </c>
      <c r="Q73" s="349">
        <f>+'Plan de Accion 2018'!BQ84</f>
        <v>0</v>
      </c>
      <c r="R73" s="350">
        <f>+'Plan de Accion 2018'!AZ84</f>
        <v>0</v>
      </c>
      <c r="S73" s="329"/>
      <c r="T73" s="348">
        <f>+'Plan de Accion 2018'!BH84</f>
        <v>0</v>
      </c>
      <c r="U73" s="349">
        <f>+'Plan de Accion 2018'!BS84</f>
        <v>0</v>
      </c>
      <c r="V73" s="350">
        <f>+'Plan de Accion 2018'!BJ84</f>
        <v>0</v>
      </c>
      <c r="W73" s="371"/>
      <c r="X73" s="372"/>
      <c r="Y73" s="373"/>
      <c r="Z73" s="374"/>
      <c r="AA73" s="375"/>
      <c r="AB73" s="373"/>
      <c r="AC73" s="374"/>
      <c r="AD73" s="375"/>
      <c r="AE73" s="373"/>
      <c r="AF73" s="374"/>
      <c r="AG73" s="375"/>
      <c r="AH73" s="373"/>
      <c r="AI73" s="374"/>
      <c r="AJ73" s="376"/>
      <c r="AK73" s="377"/>
      <c r="AL73" s="376"/>
      <c r="AM73" s="373"/>
      <c r="AN73" s="374"/>
      <c r="AO73" s="375"/>
      <c r="AP73" s="373"/>
      <c r="AQ73" s="374"/>
      <c r="AR73" s="375"/>
      <c r="AS73" s="373"/>
      <c r="AT73" s="374"/>
      <c r="AU73" s="375"/>
      <c r="AV73" s="373"/>
      <c r="AW73" s="374"/>
      <c r="AX73" s="376"/>
      <c r="AY73" s="377"/>
      <c r="BA73" s="373"/>
      <c r="BB73" s="374"/>
      <c r="BC73" s="375"/>
      <c r="BD73" s="373"/>
      <c r="BE73" s="374"/>
      <c r="BF73" s="375"/>
      <c r="BG73" s="373"/>
      <c r="BH73" s="374"/>
      <c r="BI73" s="375"/>
      <c r="BJ73" s="373"/>
      <c r="BK73" s="374"/>
      <c r="BL73" s="376"/>
      <c r="BM73" s="377"/>
      <c r="BO73" s="373"/>
      <c r="BP73" s="374"/>
      <c r="BQ73" s="375"/>
      <c r="BR73" s="373"/>
      <c r="BS73" s="374"/>
      <c r="BT73" s="375"/>
      <c r="BU73" s="373"/>
      <c r="BV73" s="374"/>
      <c r="BW73" s="375"/>
      <c r="BX73" s="373"/>
      <c r="BY73" s="374"/>
      <c r="BZ73" s="376"/>
      <c r="CA73" s="377"/>
    </row>
    <row r="74" spans="2:79" ht="20.25" thickBot="1" x14ac:dyDescent="0.3">
      <c r="B74" s="870"/>
      <c r="C74" s="814" t="s">
        <v>798</v>
      </c>
      <c r="D74" s="815"/>
      <c r="E74" s="815"/>
      <c r="F74" s="816"/>
      <c r="G74" s="342"/>
      <c r="H74" s="367" t="s">
        <v>792</v>
      </c>
      <c r="I74" s="353">
        <f>SUM(I65:I73)/COUNT(I65:I73)</f>
        <v>0.66282293016136407</v>
      </c>
      <c r="J74" s="355">
        <f>SUM(J65:J73)/COUNT(J65:J73)</f>
        <v>8.5101192967613218E-2</v>
      </c>
      <c r="K74" s="378"/>
      <c r="L74" s="367" t="s">
        <v>792</v>
      </c>
      <c r="M74" s="353">
        <f>SUM(M65:M73)/COUNT(M65:M73)</f>
        <v>0</v>
      </c>
      <c r="N74" s="355">
        <f>SUM(N65:N73)/COUNT(N65:N73)</f>
        <v>8.5101192967613218E-2</v>
      </c>
      <c r="O74" s="378"/>
      <c r="P74" s="367" t="s">
        <v>792</v>
      </c>
      <c r="Q74" s="353">
        <f>SUM(Q65:Q73)/COUNT(Q65:Q73)</f>
        <v>0</v>
      </c>
      <c r="R74" s="355">
        <f>SUM(R65:R73)/COUNT(R65:R73)</f>
        <v>8.5101192967613218E-2</v>
      </c>
      <c r="S74" s="378"/>
      <c r="T74" s="367" t="s">
        <v>792</v>
      </c>
      <c r="U74" s="353">
        <f>SUM(U65:U73)/COUNT(U65:U73)</f>
        <v>0</v>
      </c>
      <c r="V74" s="355">
        <f>SUM(V65:W73)/COUNT(V65:W73)</f>
        <v>8.5101192967613218E-2</v>
      </c>
      <c r="W74" s="371"/>
      <c r="X74" s="372"/>
      <c r="Y74" s="373"/>
      <c r="Z74" s="374"/>
      <c r="AA74" s="375"/>
      <c r="AB74" s="373"/>
      <c r="AC74" s="374"/>
      <c r="AD74" s="375"/>
      <c r="AE74" s="373"/>
      <c r="AF74" s="374"/>
      <c r="AG74" s="375"/>
      <c r="AH74" s="373"/>
      <c r="AI74" s="374"/>
      <c r="AJ74" s="376"/>
      <c r="AK74" s="377"/>
      <c r="AL74" s="376"/>
      <c r="AM74" s="373"/>
      <c r="AN74" s="374"/>
      <c r="AO74" s="375"/>
      <c r="AP74" s="373"/>
      <c r="AQ74" s="374"/>
      <c r="AR74" s="375"/>
      <c r="AS74" s="373"/>
      <c r="AT74" s="374"/>
      <c r="AU74" s="375"/>
      <c r="AV74" s="373"/>
      <c r="AW74" s="374"/>
      <c r="AX74" s="376"/>
      <c r="AY74" s="377"/>
      <c r="BA74" s="373"/>
      <c r="BB74" s="374"/>
      <c r="BC74" s="375"/>
      <c r="BD74" s="373"/>
      <c r="BE74" s="374"/>
      <c r="BF74" s="375"/>
      <c r="BG74" s="373"/>
      <c r="BH74" s="374"/>
      <c r="BI74" s="375"/>
      <c r="BJ74" s="373"/>
      <c r="BK74" s="374"/>
      <c r="BL74" s="376"/>
      <c r="BM74" s="377"/>
      <c r="BO74" s="373"/>
      <c r="BP74" s="374"/>
      <c r="BQ74" s="375"/>
      <c r="BR74" s="373"/>
      <c r="BS74" s="374"/>
      <c r="BT74" s="375"/>
      <c r="BU74" s="373"/>
      <c r="BV74" s="374"/>
      <c r="BW74" s="375"/>
      <c r="BX74" s="373"/>
      <c r="BY74" s="374"/>
      <c r="BZ74" s="376"/>
      <c r="CA74" s="377"/>
    </row>
    <row r="75" spans="2:79" ht="29.25" customHeight="1" thickBot="1" x14ac:dyDescent="0.3">
      <c r="B75" s="869"/>
      <c r="C75" s="775" t="s">
        <v>146</v>
      </c>
      <c r="D75" s="780" t="str">
        <f>+'Plan de Accion 2018'!F150</f>
        <v>Recursos de casación, asesorías y representación judicial</v>
      </c>
      <c r="E75" s="778" t="str">
        <f>+'Plan de Accion 2018'!B153</f>
        <v>Oficina Asesora Jurídica</v>
      </c>
      <c r="F75" s="831" t="str">
        <f>+'Plan de Accion 2018'!R150</f>
        <v>Ejecución del Trimestre / Presupuesto Proyectado del Trimestre</v>
      </c>
      <c r="G75" s="342"/>
      <c r="H75" s="327">
        <f>+'Plan de Accion 2018'!AD150</f>
        <v>0</v>
      </c>
      <c r="I75" s="328">
        <f>+'Plan de Accion 2018'!BM150</f>
        <v>0</v>
      </c>
      <c r="J75" s="330">
        <f>+'Plan de Accion 2018'!AF150</f>
        <v>0</v>
      </c>
      <c r="K75" s="344"/>
      <c r="L75" s="327">
        <f>+'Plan de Accion 2018'!AK150</f>
        <v>0</v>
      </c>
      <c r="M75" s="328">
        <f>+'Plan de Accion 2018'!BO3137</f>
        <v>0</v>
      </c>
      <c r="N75" s="330">
        <f>+'Plan de Accion 2018'!AP150</f>
        <v>0</v>
      </c>
      <c r="O75" s="344"/>
      <c r="P75" s="327">
        <f>+'Plan de Accion 2018'!AU150</f>
        <v>0</v>
      </c>
      <c r="Q75" s="328">
        <f>+'Plan de Accion 2018'!BQ150</f>
        <v>0</v>
      </c>
      <c r="R75" s="330">
        <f>+'Plan de Accion 2018'!AZ150</f>
        <v>0</v>
      </c>
      <c r="S75" s="344"/>
      <c r="T75" s="327">
        <f>+'Plan de Accion 2018'!BE150</f>
        <v>0</v>
      </c>
      <c r="U75" s="328">
        <f>+'Plan de Accion 2018'!BS150</f>
        <v>0</v>
      </c>
      <c r="V75" s="330">
        <f>+'Plan de Accion 2018'!BJ150</f>
        <v>0</v>
      </c>
      <c r="W75" s="371"/>
      <c r="X75" s="372"/>
      <c r="Y75" s="373"/>
      <c r="Z75" s="374"/>
      <c r="AA75" s="375"/>
      <c r="AB75" s="373"/>
      <c r="AC75" s="374"/>
      <c r="AD75" s="375"/>
      <c r="AE75" s="373"/>
      <c r="AF75" s="374"/>
      <c r="AG75" s="375"/>
      <c r="AH75" s="373"/>
      <c r="AI75" s="374"/>
      <c r="AJ75" s="376"/>
      <c r="AK75" s="377"/>
      <c r="AL75" s="376"/>
      <c r="AM75" s="373"/>
      <c r="AN75" s="374"/>
      <c r="AO75" s="375"/>
      <c r="AP75" s="373"/>
      <c r="AQ75" s="374"/>
      <c r="AR75" s="375"/>
      <c r="AS75" s="373"/>
      <c r="AT75" s="374"/>
      <c r="AU75" s="375"/>
      <c r="AV75" s="373"/>
      <c r="AW75" s="374"/>
      <c r="AX75" s="376"/>
      <c r="AY75" s="377"/>
      <c r="BA75" s="373"/>
      <c r="BB75" s="374"/>
      <c r="BC75" s="375"/>
      <c r="BD75" s="373"/>
      <c r="BE75" s="374"/>
      <c r="BF75" s="375"/>
      <c r="BG75" s="373"/>
      <c r="BH75" s="374"/>
      <c r="BI75" s="375"/>
      <c r="BJ75" s="373"/>
      <c r="BK75" s="374"/>
      <c r="BL75" s="376"/>
      <c r="BM75" s="377"/>
      <c r="BO75" s="373"/>
      <c r="BP75" s="374"/>
      <c r="BQ75" s="375"/>
      <c r="BR75" s="373"/>
      <c r="BS75" s="374"/>
      <c r="BT75" s="375"/>
      <c r="BU75" s="373"/>
      <c r="BV75" s="374"/>
      <c r="BW75" s="375"/>
      <c r="BX75" s="373"/>
      <c r="BY75" s="374"/>
      <c r="BZ75" s="376"/>
      <c r="CA75" s="377"/>
    </row>
    <row r="76" spans="2:79" ht="20.25" thickBot="1" x14ac:dyDescent="0.3">
      <c r="B76" s="869"/>
      <c r="C76" s="775"/>
      <c r="D76" s="781"/>
      <c r="E76" s="778"/>
      <c r="F76" s="832"/>
      <c r="G76" s="342"/>
      <c r="H76" s="327">
        <f>+'Plan de Accion 2018'!AD151</f>
        <v>0.7395889236717994</v>
      </c>
      <c r="I76" s="328">
        <f>+'Plan de Accion 2018'!BM151</f>
        <v>0.7395889236717994</v>
      </c>
      <c r="J76" s="330">
        <f>+'Plan de Accion 2018'!AF151</f>
        <v>0.18489723091794985</v>
      </c>
      <c r="K76" s="344"/>
      <c r="L76" s="327">
        <f>+'Plan de Accion 2018'!AK151</f>
        <v>0</v>
      </c>
      <c r="M76" s="328">
        <f>+'Plan de Accion 2018'!BO3138</f>
        <v>0</v>
      </c>
      <c r="N76" s="330">
        <f>+'Plan de Accion 2018'!AP151</f>
        <v>0.18489723091794985</v>
      </c>
      <c r="O76" s="344"/>
      <c r="P76" s="327">
        <f>+'Plan de Accion 2018'!AU151</f>
        <v>0</v>
      </c>
      <c r="Q76" s="328">
        <f>+'Plan de Accion 2018'!BQ151</f>
        <v>0</v>
      </c>
      <c r="R76" s="330">
        <f>+'Plan de Accion 2018'!AZ151</f>
        <v>0.18489723091794985</v>
      </c>
      <c r="S76" s="344"/>
      <c r="T76" s="327">
        <f>+'Plan de Accion 2018'!BE151</f>
        <v>0</v>
      </c>
      <c r="U76" s="328">
        <f>+'Plan de Accion 2018'!BS151</f>
        <v>0</v>
      </c>
      <c r="V76" s="330">
        <f>+'Plan de Accion 2018'!BJ151</f>
        <v>0.18489723091794985</v>
      </c>
      <c r="W76" s="371"/>
      <c r="X76" s="372"/>
      <c r="Y76" s="373"/>
      <c r="Z76" s="374"/>
      <c r="AA76" s="375"/>
      <c r="AB76" s="373"/>
      <c r="AC76" s="374"/>
      <c r="AD76" s="375"/>
      <c r="AE76" s="373"/>
      <c r="AF76" s="374"/>
      <c r="AG76" s="375"/>
      <c r="AH76" s="373"/>
      <c r="AI76" s="374"/>
      <c r="AJ76" s="376"/>
      <c r="AK76" s="377"/>
      <c r="AL76" s="376"/>
      <c r="AM76" s="373"/>
      <c r="AN76" s="374"/>
      <c r="AO76" s="375"/>
      <c r="AP76" s="373"/>
      <c r="AQ76" s="374"/>
      <c r="AR76" s="375"/>
      <c r="AS76" s="373"/>
      <c r="AT76" s="374"/>
      <c r="AU76" s="375"/>
      <c r="AV76" s="373"/>
      <c r="AW76" s="374"/>
      <c r="AX76" s="376"/>
      <c r="AY76" s="377"/>
      <c r="BA76" s="373"/>
      <c r="BB76" s="374"/>
      <c r="BC76" s="375"/>
      <c r="BD76" s="373"/>
      <c r="BE76" s="374"/>
      <c r="BF76" s="375"/>
      <c r="BG76" s="373"/>
      <c r="BH76" s="374"/>
      <c r="BI76" s="375"/>
      <c r="BJ76" s="373"/>
      <c r="BK76" s="374"/>
      <c r="BL76" s="376"/>
      <c r="BM76" s="377"/>
      <c r="BO76" s="373"/>
      <c r="BP76" s="374"/>
      <c r="BQ76" s="375"/>
      <c r="BR76" s="373"/>
      <c r="BS76" s="374"/>
      <c r="BT76" s="375"/>
      <c r="BU76" s="373"/>
      <c r="BV76" s="374"/>
      <c r="BW76" s="375"/>
      <c r="BX76" s="373"/>
      <c r="BY76" s="374"/>
      <c r="BZ76" s="376"/>
      <c r="CA76" s="377"/>
    </row>
    <row r="77" spans="2:79" ht="20.25" thickBot="1" x14ac:dyDescent="0.3">
      <c r="B77" s="869"/>
      <c r="C77" s="775"/>
      <c r="D77" s="778"/>
      <c r="E77" s="778"/>
      <c r="F77" s="832"/>
      <c r="G77" s="342"/>
      <c r="H77" s="327">
        <f>+'Plan de Accion 2018'!AD152</f>
        <v>1</v>
      </c>
      <c r="I77" s="328">
        <f>+'Plan de Accion 2018'!BM152</f>
        <v>1</v>
      </c>
      <c r="J77" s="330">
        <f>+'Plan de Accion 2018'!AF152</f>
        <v>0.29761904761904762</v>
      </c>
      <c r="K77" s="344"/>
      <c r="L77" s="327">
        <f>+'Plan de Accion 2018'!AK152</f>
        <v>0</v>
      </c>
      <c r="M77" s="328">
        <f>+'Plan de Accion 2018'!BO3139</f>
        <v>0</v>
      </c>
      <c r="N77" s="330">
        <f>+'Plan de Accion 2018'!AP152</f>
        <v>0.29761904761904762</v>
      </c>
      <c r="O77" s="344"/>
      <c r="P77" s="327">
        <f>+'Plan de Accion 2018'!AU152</f>
        <v>0</v>
      </c>
      <c r="Q77" s="328">
        <f>+'Plan de Accion 2018'!BQ152</f>
        <v>0</v>
      </c>
      <c r="R77" s="330">
        <f>+'Plan de Accion 2018'!AZ152</f>
        <v>0.29761904761904762</v>
      </c>
      <c r="S77" s="344"/>
      <c r="T77" s="327">
        <f>+'Plan de Accion 2018'!BE152</f>
        <v>0</v>
      </c>
      <c r="U77" s="328">
        <f>+'Plan de Accion 2018'!BS152</f>
        <v>0</v>
      </c>
      <c r="V77" s="330">
        <f>+'Plan de Accion 2018'!BJ152</f>
        <v>0.29761904761904762</v>
      </c>
      <c r="W77" s="371"/>
      <c r="X77" s="372"/>
      <c r="Y77" s="373"/>
      <c r="Z77" s="374"/>
      <c r="AA77" s="375"/>
      <c r="AB77" s="373"/>
      <c r="AC77" s="374"/>
      <c r="AD77" s="375"/>
      <c r="AE77" s="373"/>
      <c r="AF77" s="374"/>
      <c r="AG77" s="375"/>
      <c r="AH77" s="373"/>
      <c r="AI77" s="374"/>
      <c r="AJ77" s="376"/>
      <c r="AK77" s="377"/>
      <c r="AL77" s="376"/>
      <c r="AM77" s="373"/>
      <c r="AN77" s="374"/>
      <c r="AO77" s="375"/>
      <c r="AP77" s="373"/>
      <c r="AQ77" s="374"/>
      <c r="AR77" s="375"/>
      <c r="AS77" s="373"/>
      <c r="AT77" s="374"/>
      <c r="AU77" s="375"/>
      <c r="AV77" s="373"/>
      <c r="AW77" s="374"/>
      <c r="AX77" s="376"/>
      <c r="AY77" s="377"/>
      <c r="BA77" s="373"/>
      <c r="BB77" s="374"/>
      <c r="BC77" s="375"/>
      <c r="BD77" s="373"/>
      <c r="BE77" s="374"/>
      <c r="BF77" s="375"/>
      <c r="BG77" s="373"/>
      <c r="BH77" s="374"/>
      <c r="BI77" s="375"/>
      <c r="BJ77" s="373"/>
      <c r="BK77" s="374"/>
      <c r="BL77" s="376"/>
      <c r="BM77" s="377"/>
      <c r="BO77" s="373"/>
      <c r="BP77" s="374"/>
      <c r="BQ77" s="375"/>
      <c r="BR77" s="373"/>
      <c r="BS77" s="374"/>
      <c r="BT77" s="375"/>
      <c r="BU77" s="373"/>
      <c r="BV77" s="374"/>
      <c r="BW77" s="375"/>
      <c r="BX77" s="373"/>
      <c r="BY77" s="374"/>
      <c r="BZ77" s="376"/>
      <c r="CA77" s="377"/>
    </row>
    <row r="78" spans="2:79" ht="20.25" thickBot="1" x14ac:dyDescent="0.3">
      <c r="B78" s="869"/>
      <c r="C78" s="776"/>
      <c r="D78" s="339" t="str">
        <f>+'Plan de Accion 2018'!F153</f>
        <v>Vigilancia judicial</v>
      </c>
      <c r="E78" s="773"/>
      <c r="F78" s="833"/>
      <c r="G78" s="342"/>
      <c r="H78" s="336">
        <f>+'Plan de Accion 2018'!AD153</f>
        <v>0</v>
      </c>
      <c r="I78" s="337">
        <f>+'Plan de Accion 2018'!BM153</f>
        <v>0</v>
      </c>
      <c r="J78" s="330">
        <f>+'Plan de Accion 2018'!AF153</f>
        <v>0</v>
      </c>
      <c r="K78" s="344"/>
      <c r="L78" s="336">
        <f>+'Plan de Accion 2018'!AK153</f>
        <v>0</v>
      </c>
      <c r="M78" s="337">
        <f>+'Plan de Accion 2018'!BO3138</f>
        <v>0</v>
      </c>
      <c r="N78" s="338">
        <f>+'Plan de Accion 2018'!AP153</f>
        <v>0</v>
      </c>
      <c r="O78" s="344"/>
      <c r="P78" s="336">
        <f>+'Plan de Accion 2018'!AU153</f>
        <v>0</v>
      </c>
      <c r="Q78" s="337">
        <f>+'Plan de Accion 2018'!BQ153</f>
        <v>0</v>
      </c>
      <c r="R78" s="338">
        <f>+'Plan de Accion 2018'!AZ153</f>
        <v>0</v>
      </c>
      <c r="S78" s="344"/>
      <c r="T78" s="336">
        <f>+'Plan de Accion 2018'!BE153</f>
        <v>0</v>
      </c>
      <c r="U78" s="337">
        <f>+'Plan de Accion 2018'!BS153</f>
        <v>0</v>
      </c>
      <c r="V78" s="338">
        <f>+'Plan de Accion 2018'!BJ153</f>
        <v>0</v>
      </c>
      <c r="W78" s="371"/>
      <c r="X78" s="372"/>
      <c r="Y78" s="373"/>
      <c r="Z78" s="374"/>
      <c r="AA78" s="375"/>
      <c r="AB78" s="373"/>
      <c r="AC78" s="374"/>
      <c r="AD78" s="375"/>
      <c r="AE78" s="373"/>
      <c r="AF78" s="374"/>
      <c r="AG78" s="375"/>
      <c r="AH78" s="373"/>
      <c r="AI78" s="374"/>
      <c r="AJ78" s="376"/>
      <c r="AK78" s="377"/>
      <c r="AL78" s="376"/>
      <c r="AM78" s="373"/>
      <c r="AN78" s="374"/>
      <c r="AO78" s="375"/>
      <c r="AP78" s="373"/>
      <c r="AQ78" s="374"/>
      <c r="AR78" s="375"/>
      <c r="AS78" s="373"/>
      <c r="AT78" s="374"/>
      <c r="AU78" s="375"/>
      <c r="AV78" s="373"/>
      <c r="AW78" s="374"/>
      <c r="AX78" s="376"/>
      <c r="AY78" s="377"/>
      <c r="BA78" s="373"/>
      <c r="BB78" s="374"/>
      <c r="BC78" s="375"/>
      <c r="BD78" s="373"/>
      <c r="BE78" s="374"/>
      <c r="BF78" s="375"/>
      <c r="BG78" s="373"/>
      <c r="BH78" s="374"/>
      <c r="BI78" s="375"/>
      <c r="BJ78" s="373"/>
      <c r="BK78" s="374"/>
      <c r="BL78" s="376"/>
      <c r="BM78" s="377"/>
      <c r="BO78" s="373"/>
      <c r="BP78" s="374"/>
      <c r="BQ78" s="375"/>
      <c r="BR78" s="373"/>
      <c r="BS78" s="374"/>
      <c r="BT78" s="375"/>
      <c r="BU78" s="373"/>
      <c r="BV78" s="374"/>
      <c r="BW78" s="375"/>
      <c r="BX78" s="373"/>
      <c r="BY78" s="374"/>
      <c r="BZ78" s="376"/>
      <c r="CA78" s="377"/>
    </row>
    <row r="79" spans="2:79" ht="57.75" thickBot="1" x14ac:dyDescent="0.25">
      <c r="B79" s="869"/>
      <c r="C79" s="776"/>
      <c r="D79" s="339" t="str">
        <f>+'Plan de Accion 2018'!F137</f>
        <v>Depuración de Cartera FOSYGA y/o ADRES</v>
      </c>
      <c r="E79" s="773"/>
      <c r="F79" s="365" t="str">
        <f>+'Plan de Accion 2018'!R138</f>
        <v>Monto de venta de cartera a CISA / Monto de cartera por reclamaciones mayor a 180 días vendida</v>
      </c>
      <c r="G79" s="326"/>
      <c r="H79" s="336">
        <f>+'Plan de Accion 2018'!AA138</f>
        <v>0</v>
      </c>
      <c r="I79" s="337">
        <f>+'Plan de Accion 2018'!BL138</f>
        <v>0</v>
      </c>
      <c r="J79" s="330">
        <f>+'Plan de Accion 2018'!AE138</f>
        <v>0</v>
      </c>
      <c r="K79" s="329"/>
      <c r="L79" s="336">
        <f>+'Plan de Accion 2018'!AK138</f>
        <v>0</v>
      </c>
      <c r="M79" s="337">
        <f>+'Plan de Accion 2018'!BN138</f>
        <v>0</v>
      </c>
      <c r="N79" s="338">
        <f>+'Plan de Accion 2018'!AO138</f>
        <v>0</v>
      </c>
      <c r="O79" s="329"/>
      <c r="P79" s="336">
        <f>+'Plan de Accion 2018'!AU138</f>
        <v>0</v>
      </c>
      <c r="Q79" s="337" t="str">
        <f>+'Plan de Accion 2018'!BP138</f>
        <v>No Prog ni Ejec</v>
      </c>
      <c r="R79" s="338">
        <f>+'Plan de Accion 2018'!AY138</f>
        <v>0</v>
      </c>
      <c r="S79" s="329"/>
      <c r="T79" s="336">
        <f>+'Plan de Accion 2018'!BE138</f>
        <v>0</v>
      </c>
      <c r="U79" s="337" t="str">
        <f>+'Plan de Accion 2018'!BR138</f>
        <v>No Prog ni Ejec</v>
      </c>
      <c r="V79" s="338">
        <f>+'Plan de Accion 2018'!BI138</f>
        <v>0</v>
      </c>
      <c r="W79" s="371"/>
      <c r="X79" s="372"/>
      <c r="Y79" s="373"/>
      <c r="Z79" s="374"/>
      <c r="AA79" s="375"/>
      <c r="AB79" s="373"/>
      <c r="AC79" s="374"/>
      <c r="AD79" s="375"/>
      <c r="AE79" s="373"/>
      <c r="AF79" s="374"/>
      <c r="AG79" s="375"/>
      <c r="AH79" s="373"/>
      <c r="AI79" s="374"/>
      <c r="AJ79" s="376"/>
      <c r="AK79" s="377"/>
      <c r="AL79" s="376"/>
      <c r="AM79" s="373"/>
      <c r="AN79" s="374"/>
      <c r="AO79" s="375"/>
      <c r="AP79" s="373"/>
      <c r="AQ79" s="374"/>
      <c r="AR79" s="375"/>
      <c r="AS79" s="373"/>
      <c r="AT79" s="374"/>
      <c r="AU79" s="375"/>
      <c r="AV79" s="373"/>
      <c r="AW79" s="374"/>
      <c r="AX79" s="376"/>
      <c r="AY79" s="377"/>
      <c r="BA79" s="373"/>
      <c r="BB79" s="374"/>
      <c r="BC79" s="375"/>
      <c r="BD79" s="373"/>
      <c r="BE79" s="374"/>
      <c r="BF79" s="375"/>
      <c r="BG79" s="373"/>
      <c r="BH79" s="374"/>
      <c r="BI79" s="375"/>
      <c r="BJ79" s="373"/>
      <c r="BK79" s="374"/>
      <c r="BL79" s="376"/>
      <c r="BM79" s="377"/>
      <c r="BO79" s="373"/>
      <c r="BP79" s="374"/>
      <c r="BQ79" s="375"/>
      <c r="BR79" s="373"/>
      <c r="BS79" s="374"/>
      <c r="BT79" s="375"/>
      <c r="BU79" s="373"/>
      <c r="BV79" s="374"/>
      <c r="BW79" s="375"/>
      <c r="BX79" s="373"/>
      <c r="BY79" s="374"/>
      <c r="BZ79" s="376"/>
      <c r="CA79" s="377"/>
    </row>
    <row r="80" spans="2:79" ht="129" thickBot="1" x14ac:dyDescent="0.3">
      <c r="B80" s="869"/>
      <c r="C80" s="776"/>
      <c r="D80" s="339" t="str">
        <f>+'Plan de Accion 2018'!F146</f>
        <v>Proceso inicial de cobro por concepto de accidentes de transito, donde el vehículo involucrando carecía de SOAT</v>
      </c>
      <c r="E80" s="773"/>
      <c r="F80" s="365" t="str">
        <f>+'Plan de Accion 2018'!R147</f>
        <v>Monto de reclamaciones pagadas por terceros al inicio del proceso de cobro, por concepto de accidentes de tránsito sin SOAT  / Monto de reclamaciones pagadas por la ADRES antes FOSYGA, por concepto de accidentes de tránsito sin SOAT</v>
      </c>
      <c r="G80" s="342"/>
      <c r="H80" s="336" t="str">
        <f>+'Plan de Accion 2018'!AA147</f>
        <v>N.A</v>
      </c>
      <c r="I80" s="337" t="str">
        <f>+'Plan de Accion 2018'!BM146</f>
        <v>No Prog ni Ejec</v>
      </c>
      <c r="J80" s="330">
        <f>+'Plan de Accion 2018'!AF147</f>
        <v>0</v>
      </c>
      <c r="K80" s="344"/>
      <c r="L80" s="336">
        <f>+'Plan de Accion 2018'!AK147</f>
        <v>0</v>
      </c>
      <c r="M80" s="337" t="str">
        <f>+'Plan de Accion 2018'!BO146</f>
        <v>No Prog ni Ejec</v>
      </c>
      <c r="N80" s="338">
        <f>+'Plan de Accion 2018'!AP147</f>
        <v>0</v>
      </c>
      <c r="O80" s="344"/>
      <c r="P80" s="336">
        <f>+'Plan de Accion 2018'!AU147</f>
        <v>0</v>
      </c>
      <c r="Q80" s="337" t="str">
        <f>+'Plan de Accion 2018'!BQ146</f>
        <v>No Prog ni Ejec</v>
      </c>
      <c r="R80" s="338">
        <f>+'Plan de Accion 2018'!AZ147</f>
        <v>0</v>
      </c>
      <c r="S80" s="344"/>
      <c r="T80" s="336">
        <f>+'Plan de Accion 2018'!BE147</f>
        <v>0</v>
      </c>
      <c r="U80" s="337" t="str">
        <f>+'Plan de Accion 2018'!BS146</f>
        <v>No Prog ni Ejec</v>
      </c>
      <c r="V80" s="338">
        <f>+'Plan de Accion 2018'!BJ147</f>
        <v>0</v>
      </c>
      <c r="W80" s="371"/>
      <c r="X80" s="372"/>
      <c r="Y80" s="373"/>
      <c r="Z80" s="374"/>
      <c r="AA80" s="375"/>
      <c r="AB80" s="373"/>
      <c r="AC80" s="374"/>
      <c r="AD80" s="375"/>
      <c r="AE80" s="373"/>
      <c r="AF80" s="374"/>
      <c r="AG80" s="375"/>
      <c r="AH80" s="373"/>
      <c r="AI80" s="374"/>
      <c r="AJ80" s="376"/>
      <c r="AK80" s="377"/>
      <c r="AL80" s="376"/>
      <c r="AM80" s="373"/>
      <c r="AN80" s="374"/>
      <c r="AO80" s="375"/>
      <c r="AP80" s="373"/>
      <c r="AQ80" s="374"/>
      <c r="AR80" s="375"/>
      <c r="AS80" s="373"/>
      <c r="AT80" s="374"/>
      <c r="AU80" s="375"/>
      <c r="AV80" s="373"/>
      <c r="AW80" s="374"/>
      <c r="AX80" s="376"/>
      <c r="AY80" s="377"/>
      <c r="BA80" s="373"/>
      <c r="BB80" s="374"/>
      <c r="BC80" s="375"/>
      <c r="BD80" s="373"/>
      <c r="BE80" s="374"/>
      <c r="BF80" s="375"/>
      <c r="BG80" s="373"/>
      <c r="BH80" s="374"/>
      <c r="BI80" s="375"/>
      <c r="BJ80" s="373"/>
      <c r="BK80" s="374"/>
      <c r="BL80" s="376"/>
      <c r="BM80" s="377"/>
      <c r="BO80" s="373"/>
      <c r="BP80" s="374"/>
      <c r="BQ80" s="375"/>
      <c r="BR80" s="373"/>
      <c r="BS80" s="374"/>
      <c r="BT80" s="375"/>
      <c r="BU80" s="373"/>
      <c r="BV80" s="374"/>
      <c r="BW80" s="375"/>
      <c r="BX80" s="373"/>
      <c r="BY80" s="374"/>
      <c r="BZ80" s="376"/>
      <c r="CA80" s="377"/>
    </row>
    <row r="81" spans="2:79" ht="143.25" thickBot="1" x14ac:dyDescent="0.3">
      <c r="B81" s="869"/>
      <c r="C81" s="776"/>
      <c r="D81" s="339" t="str">
        <f>+'Plan de Accion 2018'!F148</f>
        <v>Cobro coactivo de cartera por concepto de accidentes de transito, donde el vehículo involucrando carecida de SOAT</v>
      </c>
      <c r="E81" s="773"/>
      <c r="F81" s="365" t="str">
        <f>+'Plan de Accion 2018'!R149</f>
        <v>Monto de reclamaciones pagadas por terceros en la fase de cobro coactivo, por concepto de accidentes de tránsito sin SOAT  / Monto de reclamaciones pagadas por la ADRES antes FOSYGA, por concepto de accidentes de tránsito sin SOAT, objeto de cobro coactivo</v>
      </c>
      <c r="G81" s="342"/>
      <c r="H81" s="336" t="str">
        <f>+'Plan de Accion 2018'!AA149</f>
        <v>N.A</v>
      </c>
      <c r="I81" s="337" t="str">
        <f>+'Plan de Accion 2018'!BM148</f>
        <v>No Prog ni Ejec</v>
      </c>
      <c r="J81" s="330">
        <f>+'Plan de Accion 2018'!AF149</f>
        <v>0</v>
      </c>
      <c r="K81" s="344"/>
      <c r="L81" s="336">
        <f>+'Plan de Accion 2018'!AK149</f>
        <v>0</v>
      </c>
      <c r="M81" s="337" t="str">
        <f>+'Plan de Accion 2018'!BO148</f>
        <v>No Prog ni Ejec</v>
      </c>
      <c r="N81" s="338">
        <f>+'Plan de Accion 2018'!AP149</f>
        <v>0</v>
      </c>
      <c r="O81" s="344"/>
      <c r="P81" s="336">
        <f>+'Plan de Accion 2018'!AU149</f>
        <v>0</v>
      </c>
      <c r="Q81" s="337" t="str">
        <f>+'Plan de Accion 2018'!BQ148</f>
        <v>No Prog ni Ejec</v>
      </c>
      <c r="R81" s="338">
        <f>+'Plan de Accion 2018'!AZ149</f>
        <v>0</v>
      </c>
      <c r="S81" s="344"/>
      <c r="T81" s="336">
        <f>+'Plan de Accion 2018'!BE149</f>
        <v>0</v>
      </c>
      <c r="U81" s="337" t="str">
        <f>+'Plan de Accion 2018'!BS148</f>
        <v>No Prog ni Ejec</v>
      </c>
      <c r="V81" s="338">
        <f>+'Plan de Accion 2018'!BJ149</f>
        <v>0</v>
      </c>
      <c r="W81" s="371"/>
      <c r="X81" s="372"/>
      <c r="Y81" s="373"/>
      <c r="Z81" s="374"/>
      <c r="AA81" s="375"/>
      <c r="AB81" s="373"/>
      <c r="AC81" s="374"/>
      <c r="AD81" s="375"/>
      <c r="AE81" s="373"/>
      <c r="AF81" s="374"/>
      <c r="AG81" s="375"/>
      <c r="AH81" s="373"/>
      <c r="AI81" s="374"/>
      <c r="AJ81" s="376"/>
      <c r="AK81" s="377"/>
      <c r="AL81" s="376"/>
      <c r="AM81" s="373"/>
      <c r="AN81" s="374"/>
      <c r="AO81" s="375"/>
      <c r="AP81" s="373"/>
      <c r="AQ81" s="374"/>
      <c r="AR81" s="375"/>
      <c r="AS81" s="373"/>
      <c r="AT81" s="374"/>
      <c r="AU81" s="375"/>
      <c r="AV81" s="373"/>
      <c r="AW81" s="374"/>
      <c r="AX81" s="376"/>
      <c r="AY81" s="377"/>
      <c r="BA81" s="373"/>
      <c r="BB81" s="374"/>
      <c r="BC81" s="375"/>
      <c r="BD81" s="373"/>
      <c r="BE81" s="374"/>
      <c r="BF81" s="375"/>
      <c r="BG81" s="373"/>
      <c r="BH81" s="374"/>
      <c r="BI81" s="375"/>
      <c r="BJ81" s="373"/>
      <c r="BK81" s="374"/>
      <c r="BL81" s="376"/>
      <c r="BM81" s="377"/>
      <c r="BO81" s="373"/>
      <c r="BP81" s="374"/>
      <c r="BQ81" s="375"/>
      <c r="BR81" s="373"/>
      <c r="BS81" s="374"/>
      <c r="BT81" s="375"/>
      <c r="BU81" s="373"/>
      <c r="BV81" s="374"/>
      <c r="BW81" s="375"/>
      <c r="BX81" s="373"/>
      <c r="BY81" s="374"/>
      <c r="BZ81" s="376"/>
      <c r="CA81" s="377"/>
    </row>
    <row r="82" spans="2:79" ht="43.5" thickBot="1" x14ac:dyDescent="0.3">
      <c r="B82" s="869"/>
      <c r="C82" s="776"/>
      <c r="D82" s="339" t="str">
        <f>+'Plan de Accion 2018'!F125</f>
        <v xml:space="preserve">Informes de respuestas a las acciones constitucionales  y de  tutelas </v>
      </c>
      <c r="E82" s="773"/>
      <c r="F82" s="860" t="s">
        <v>816</v>
      </c>
      <c r="G82" s="342"/>
      <c r="H82" s="336">
        <f>+'Plan de Accion 2018'!AD125</f>
        <v>0.59928879563839732</v>
      </c>
      <c r="I82" s="337">
        <f>+'Plan de Accion 2018'!BM125</f>
        <v>0.59928879563839732</v>
      </c>
      <c r="J82" s="330">
        <f>+'Plan de Accion 2018'!AF125</f>
        <v>0.14982219890959933</v>
      </c>
      <c r="K82" s="329"/>
      <c r="L82" s="336">
        <f>+'Plan de Accion 2018'!AN125</f>
        <v>0</v>
      </c>
      <c r="M82" s="337">
        <f>+'Plan de Accion 2018'!BO125</f>
        <v>0</v>
      </c>
      <c r="N82" s="338">
        <f>+'Plan de Accion 2018'!AP125</f>
        <v>0.14982219890959933</v>
      </c>
      <c r="O82" s="329"/>
      <c r="P82" s="336">
        <f>+'Plan de Accion 2018'!AX125</f>
        <v>0</v>
      </c>
      <c r="Q82" s="337">
        <f>+'Plan de Accion 2018'!BQ125</f>
        <v>0</v>
      </c>
      <c r="R82" s="338">
        <f>+'Plan de Accion 2018'!AZ125</f>
        <v>0.14982219890959933</v>
      </c>
      <c r="S82" s="329"/>
      <c r="T82" s="336">
        <f>+'Plan de Accion 2018'!BH125</f>
        <v>0</v>
      </c>
      <c r="U82" s="337">
        <f>+'Plan de Accion 2018'!BS125</f>
        <v>0</v>
      </c>
      <c r="V82" s="338">
        <f>+'Plan de Accion 2018'!BJ125</f>
        <v>0.14982219890959933</v>
      </c>
      <c r="W82" s="371"/>
      <c r="X82" s="372"/>
      <c r="Y82" s="373"/>
      <c r="Z82" s="374"/>
      <c r="AA82" s="375"/>
      <c r="AB82" s="373"/>
      <c r="AC82" s="374"/>
      <c r="AD82" s="375"/>
      <c r="AE82" s="373"/>
      <c r="AF82" s="374"/>
      <c r="AG82" s="375"/>
      <c r="AH82" s="373"/>
      <c r="AI82" s="374"/>
      <c r="AJ82" s="376"/>
      <c r="AK82" s="377"/>
      <c r="AL82" s="376"/>
      <c r="AM82" s="373"/>
      <c r="AN82" s="374"/>
      <c r="AO82" s="375"/>
      <c r="AP82" s="373"/>
      <c r="AQ82" s="374"/>
      <c r="AR82" s="375"/>
      <c r="AS82" s="373"/>
      <c r="AT82" s="374"/>
      <c r="AU82" s="375"/>
      <c r="AV82" s="373"/>
      <c r="AW82" s="374"/>
      <c r="AX82" s="376"/>
      <c r="AY82" s="377"/>
      <c r="BA82" s="373"/>
      <c r="BB82" s="374"/>
      <c r="BC82" s="375"/>
      <c r="BD82" s="373"/>
      <c r="BE82" s="374"/>
      <c r="BF82" s="375"/>
      <c r="BG82" s="373"/>
      <c r="BH82" s="374"/>
      <c r="BI82" s="375"/>
      <c r="BJ82" s="373"/>
      <c r="BK82" s="374"/>
      <c r="BL82" s="376"/>
      <c r="BM82" s="377"/>
      <c r="BO82" s="373"/>
      <c r="BP82" s="374"/>
      <c r="BQ82" s="375"/>
      <c r="BR82" s="373"/>
      <c r="BS82" s="374"/>
      <c r="BT82" s="375"/>
      <c r="BU82" s="373"/>
      <c r="BV82" s="374"/>
      <c r="BW82" s="375"/>
      <c r="BX82" s="373"/>
      <c r="BY82" s="374"/>
      <c r="BZ82" s="376"/>
      <c r="CA82" s="377"/>
    </row>
    <row r="83" spans="2:79" ht="29.25" thickBot="1" x14ac:dyDescent="0.3">
      <c r="B83" s="869"/>
      <c r="C83" s="776"/>
      <c r="D83" s="339" t="str">
        <f>+'Plan de Accion 2018'!F126</f>
        <v>Representación  judicial - Demandas Laborales</v>
      </c>
      <c r="E83" s="773"/>
      <c r="F83" s="861"/>
      <c r="G83" s="342"/>
      <c r="H83" s="779">
        <f>+'Plan de Accion 2018'!AD126</f>
        <v>0.40221286497577247</v>
      </c>
      <c r="I83" s="764">
        <f>+'Plan de Accion 2018'!BM126</f>
        <v>0.40221286497577247</v>
      </c>
      <c r="J83" s="770">
        <f>+'Plan de Accion 2018'!AF126</f>
        <v>0.10055321624394312</v>
      </c>
      <c r="K83" s="379"/>
      <c r="L83" s="767">
        <f>+'Plan de Accion 2018'!AN126</f>
        <v>0</v>
      </c>
      <c r="M83" s="764">
        <f>+'Plan de Accion 2018'!BO126</f>
        <v>0</v>
      </c>
      <c r="N83" s="761">
        <f>+'Plan de Accion 2018'!AP126</f>
        <v>0.10055321624394312</v>
      </c>
      <c r="O83" s="379"/>
      <c r="P83" s="767">
        <f>+'Plan de Accion 2018'!AX126</f>
        <v>0</v>
      </c>
      <c r="Q83" s="764">
        <f>+'Plan de Accion 2018'!BQ126</f>
        <v>0</v>
      </c>
      <c r="R83" s="761">
        <f>+'Plan de Accion 2018'!AZ126</f>
        <v>0.10055321624394312</v>
      </c>
      <c r="S83" s="379"/>
      <c r="T83" s="767">
        <f>+'Plan de Accion 2018'!BH126</f>
        <v>0</v>
      </c>
      <c r="U83" s="764">
        <f>+'Plan de Accion 2018'!BS126</f>
        <v>0</v>
      </c>
      <c r="V83" s="761">
        <f>+'Plan de Accion 2018'!BJ126</f>
        <v>0.10055321624394312</v>
      </c>
      <c r="W83" s="371"/>
      <c r="X83" s="372"/>
      <c r="Y83" s="373"/>
      <c r="Z83" s="374"/>
      <c r="AA83" s="375"/>
      <c r="AB83" s="373"/>
      <c r="AC83" s="374"/>
      <c r="AD83" s="375"/>
      <c r="AE83" s="373"/>
      <c r="AF83" s="374"/>
      <c r="AG83" s="375"/>
      <c r="AH83" s="373"/>
      <c r="AI83" s="374"/>
      <c r="AJ83" s="376"/>
      <c r="AK83" s="377"/>
      <c r="AL83" s="376"/>
      <c r="AM83" s="373"/>
      <c r="AN83" s="374"/>
      <c r="AO83" s="375"/>
      <c r="AP83" s="373"/>
      <c r="AQ83" s="374"/>
      <c r="AR83" s="375"/>
      <c r="AS83" s="373"/>
      <c r="AT83" s="374"/>
      <c r="AU83" s="375"/>
      <c r="AV83" s="373"/>
      <c r="AW83" s="374"/>
      <c r="AX83" s="376"/>
      <c r="AY83" s="377"/>
      <c r="BA83" s="373"/>
      <c r="BB83" s="374"/>
      <c r="BC83" s="375"/>
      <c r="BD83" s="373"/>
      <c r="BE83" s="374"/>
      <c r="BF83" s="375"/>
      <c r="BG83" s="373"/>
      <c r="BH83" s="374"/>
      <c r="BI83" s="375"/>
      <c r="BJ83" s="373"/>
      <c r="BK83" s="374"/>
      <c r="BL83" s="376"/>
      <c r="BM83" s="377"/>
      <c r="BO83" s="373"/>
      <c r="BP83" s="374"/>
      <c r="BQ83" s="375"/>
      <c r="BR83" s="373"/>
      <c r="BS83" s="374"/>
      <c r="BT83" s="375"/>
      <c r="BU83" s="373"/>
      <c r="BV83" s="374"/>
      <c r="BW83" s="375"/>
      <c r="BX83" s="373"/>
      <c r="BY83" s="374"/>
      <c r="BZ83" s="376"/>
      <c r="CA83" s="377"/>
    </row>
    <row r="84" spans="2:79" ht="29.25" thickBot="1" x14ac:dyDescent="0.3">
      <c r="B84" s="869"/>
      <c r="C84" s="776"/>
      <c r="D84" s="339" t="str">
        <f>+'Plan de Accion 2018'!F127</f>
        <v>Representación  judicial - Procesos Administrativos</v>
      </c>
      <c r="E84" s="773"/>
      <c r="F84" s="861"/>
      <c r="G84" s="342"/>
      <c r="H84" s="779"/>
      <c r="I84" s="765"/>
      <c r="J84" s="771"/>
      <c r="K84" s="380"/>
      <c r="L84" s="768"/>
      <c r="M84" s="765"/>
      <c r="N84" s="762"/>
      <c r="O84" s="380"/>
      <c r="P84" s="768"/>
      <c r="Q84" s="765"/>
      <c r="R84" s="762"/>
      <c r="S84" s="380"/>
      <c r="T84" s="768"/>
      <c r="U84" s="765"/>
      <c r="V84" s="762"/>
      <c r="W84" s="371"/>
      <c r="X84" s="372"/>
      <c r="Y84" s="373"/>
      <c r="Z84" s="374"/>
      <c r="AA84" s="375"/>
      <c r="AB84" s="373"/>
      <c r="AC84" s="374"/>
      <c r="AD84" s="375"/>
      <c r="AE84" s="373"/>
      <c r="AF84" s="374"/>
      <c r="AG84" s="375"/>
      <c r="AH84" s="373"/>
      <c r="AI84" s="374"/>
      <c r="AJ84" s="376"/>
      <c r="AK84" s="377"/>
      <c r="AL84" s="376"/>
      <c r="AM84" s="373"/>
      <c r="AN84" s="374"/>
      <c r="AO84" s="375"/>
      <c r="AP84" s="373"/>
      <c r="AQ84" s="374"/>
      <c r="AR84" s="375"/>
      <c r="AS84" s="373"/>
      <c r="AT84" s="374"/>
      <c r="AU84" s="375"/>
      <c r="AV84" s="373"/>
      <c r="AW84" s="374"/>
      <c r="AX84" s="376"/>
      <c r="AY84" s="377"/>
      <c r="BA84" s="373"/>
      <c r="BB84" s="374"/>
      <c r="BC84" s="375"/>
      <c r="BD84" s="373"/>
      <c r="BE84" s="374"/>
      <c r="BF84" s="375"/>
      <c r="BG84" s="373"/>
      <c r="BH84" s="374"/>
      <c r="BI84" s="375"/>
      <c r="BJ84" s="373"/>
      <c r="BK84" s="374"/>
      <c r="BL84" s="376"/>
      <c r="BM84" s="377"/>
      <c r="BO84" s="373"/>
      <c r="BP84" s="374"/>
      <c r="BQ84" s="375"/>
      <c r="BR84" s="373"/>
      <c r="BS84" s="374"/>
      <c r="BT84" s="375"/>
      <c r="BU84" s="373"/>
      <c r="BV84" s="374"/>
      <c r="BW84" s="375"/>
      <c r="BX84" s="373"/>
      <c r="BY84" s="374"/>
      <c r="BZ84" s="376"/>
      <c r="CA84" s="377"/>
    </row>
    <row r="85" spans="2:79" ht="29.25" thickBot="1" x14ac:dyDescent="0.3">
      <c r="B85" s="869"/>
      <c r="C85" s="776"/>
      <c r="D85" s="339" t="str">
        <f>+'Plan de Accion 2018'!F128</f>
        <v>Respuesta y trámite de pruebas atendidas</v>
      </c>
      <c r="E85" s="773"/>
      <c r="F85" s="861"/>
      <c r="G85" s="342"/>
      <c r="H85" s="779"/>
      <c r="I85" s="765"/>
      <c r="J85" s="771"/>
      <c r="K85" s="380"/>
      <c r="L85" s="768"/>
      <c r="M85" s="765"/>
      <c r="N85" s="762"/>
      <c r="O85" s="380"/>
      <c r="P85" s="768"/>
      <c r="Q85" s="765"/>
      <c r="R85" s="762"/>
      <c r="S85" s="380"/>
      <c r="T85" s="768"/>
      <c r="U85" s="765"/>
      <c r="V85" s="762"/>
      <c r="W85" s="371"/>
      <c r="X85" s="372"/>
      <c r="Y85" s="373"/>
      <c r="Z85" s="374"/>
      <c r="AA85" s="375"/>
      <c r="AB85" s="373"/>
      <c r="AC85" s="374"/>
      <c r="AD85" s="375"/>
      <c r="AE85" s="373"/>
      <c r="AF85" s="374"/>
      <c r="AG85" s="375"/>
      <c r="AH85" s="373"/>
      <c r="AI85" s="374"/>
      <c r="AJ85" s="376"/>
      <c r="AK85" s="377"/>
      <c r="AL85" s="376"/>
      <c r="AM85" s="373"/>
      <c r="AN85" s="374"/>
      <c r="AO85" s="375"/>
      <c r="AP85" s="373"/>
      <c r="AQ85" s="374"/>
      <c r="AR85" s="375"/>
      <c r="AS85" s="373"/>
      <c r="AT85" s="374"/>
      <c r="AU85" s="375"/>
      <c r="AV85" s="373"/>
      <c r="AW85" s="374"/>
      <c r="AX85" s="376"/>
      <c r="AY85" s="377"/>
      <c r="BA85" s="373"/>
      <c r="BB85" s="374"/>
      <c r="BC85" s="375"/>
      <c r="BD85" s="373"/>
      <c r="BE85" s="374"/>
      <c r="BF85" s="375"/>
      <c r="BG85" s="373"/>
      <c r="BH85" s="374"/>
      <c r="BI85" s="375"/>
      <c r="BJ85" s="373"/>
      <c r="BK85" s="374"/>
      <c r="BL85" s="376"/>
      <c r="BM85" s="377"/>
      <c r="BO85" s="373"/>
      <c r="BP85" s="374"/>
      <c r="BQ85" s="375"/>
      <c r="BR85" s="373"/>
      <c r="BS85" s="374"/>
      <c r="BT85" s="375"/>
      <c r="BU85" s="373"/>
      <c r="BV85" s="374"/>
      <c r="BW85" s="375"/>
      <c r="BX85" s="373"/>
      <c r="BY85" s="374"/>
      <c r="BZ85" s="376"/>
      <c r="CA85" s="377"/>
    </row>
    <row r="86" spans="2:79" ht="21" customHeight="1" thickBot="1" x14ac:dyDescent="0.3">
      <c r="B86" s="869"/>
      <c r="C86" s="776"/>
      <c r="D86" s="339" t="str">
        <f>+'Plan de Accion 2018'!F129</f>
        <v>Conciliaciones Prejudiciales y judiciales</v>
      </c>
      <c r="E86" s="773"/>
      <c r="F86" s="861"/>
      <c r="G86" s="342"/>
      <c r="H86" s="779"/>
      <c r="I86" s="766"/>
      <c r="J86" s="772"/>
      <c r="K86" s="380"/>
      <c r="L86" s="769"/>
      <c r="M86" s="766"/>
      <c r="N86" s="763"/>
      <c r="O86" s="380"/>
      <c r="P86" s="769"/>
      <c r="Q86" s="766"/>
      <c r="R86" s="763"/>
      <c r="S86" s="380"/>
      <c r="T86" s="769"/>
      <c r="U86" s="766"/>
      <c r="V86" s="763"/>
      <c r="W86" s="371"/>
      <c r="X86" s="372"/>
      <c r="Y86" s="373"/>
      <c r="Z86" s="374"/>
      <c r="AA86" s="375"/>
      <c r="AB86" s="373"/>
      <c r="AC86" s="374"/>
      <c r="AD86" s="375"/>
      <c r="AE86" s="373"/>
      <c r="AF86" s="374"/>
      <c r="AG86" s="375"/>
      <c r="AH86" s="373"/>
      <c r="AI86" s="374"/>
      <c r="AJ86" s="376"/>
      <c r="AK86" s="377"/>
      <c r="AL86" s="376"/>
      <c r="AM86" s="373"/>
      <c r="AN86" s="374"/>
      <c r="AO86" s="375"/>
      <c r="AP86" s="373"/>
      <c r="AQ86" s="374"/>
      <c r="AR86" s="375"/>
      <c r="AS86" s="373"/>
      <c r="AT86" s="374"/>
      <c r="AU86" s="375"/>
      <c r="AV86" s="373"/>
      <c r="AW86" s="374"/>
      <c r="AX86" s="376"/>
      <c r="AY86" s="377"/>
      <c r="BA86" s="373"/>
      <c r="BB86" s="374"/>
      <c r="BC86" s="375"/>
      <c r="BD86" s="373"/>
      <c r="BE86" s="374"/>
      <c r="BF86" s="375"/>
      <c r="BG86" s="373"/>
      <c r="BH86" s="374"/>
      <c r="BI86" s="375"/>
      <c r="BJ86" s="373"/>
      <c r="BK86" s="374"/>
      <c r="BL86" s="376"/>
      <c r="BM86" s="377"/>
      <c r="BO86" s="373"/>
      <c r="BP86" s="374"/>
      <c r="BQ86" s="375"/>
      <c r="BR86" s="373"/>
      <c r="BS86" s="374"/>
      <c r="BT86" s="375"/>
      <c r="BU86" s="373"/>
      <c r="BV86" s="374"/>
      <c r="BW86" s="375"/>
      <c r="BX86" s="373"/>
      <c r="BY86" s="374"/>
      <c r="BZ86" s="376"/>
      <c r="CA86" s="377"/>
    </row>
    <row r="87" spans="2:79" ht="21" customHeight="1" thickBot="1" x14ac:dyDescent="0.3">
      <c r="B87" s="869"/>
      <c r="C87" s="776"/>
      <c r="D87" s="451" t="str">
        <f>+'Plan de Accion 2018'!F131</f>
        <v>Comité de conciliación realizado</v>
      </c>
      <c r="E87" s="773"/>
      <c r="F87" s="861"/>
      <c r="G87" s="342"/>
      <c r="H87" s="336">
        <f>+'Plan de Accion 2018'!AD131</f>
        <v>0.41111113869824301</v>
      </c>
      <c r="I87" s="337">
        <f>+'Plan de Accion 2018'!BM131</f>
        <v>0.41111113869824301</v>
      </c>
      <c r="J87" s="330">
        <f>+'Plan de Accion 2018'!AF131</f>
        <v>0.10277778467456075</v>
      </c>
      <c r="K87" s="380"/>
      <c r="L87" s="336">
        <f>+'Plan de Accion 2018'!AN131</f>
        <v>0</v>
      </c>
      <c r="M87" s="337">
        <f>+'Plan de Accion 2018'!BO131</f>
        <v>0</v>
      </c>
      <c r="N87" s="338">
        <f>+'Plan de Accion 2018'!AP131</f>
        <v>0.10277778467456075</v>
      </c>
      <c r="O87" s="380"/>
      <c r="P87" s="336">
        <f>+'Plan de Accion 2018'!AX131</f>
        <v>0</v>
      </c>
      <c r="Q87" s="337">
        <f>+'Plan de Accion 2018'!BQ131</f>
        <v>0</v>
      </c>
      <c r="R87" s="338">
        <f>+'Plan de Accion 2018'!AZ131</f>
        <v>0.10277778467456075</v>
      </c>
      <c r="S87" s="380"/>
      <c r="T87" s="336">
        <f>+'Plan de Accion 2018'!BH131</f>
        <v>0</v>
      </c>
      <c r="U87" s="337">
        <f>+'Plan de Accion 2018'!BS131</f>
        <v>0</v>
      </c>
      <c r="V87" s="338">
        <f>+'Plan de Accion 2018'!BJ131</f>
        <v>0.10277778467456075</v>
      </c>
      <c r="W87" s="371"/>
      <c r="X87" s="372"/>
      <c r="Y87" s="373"/>
      <c r="Z87" s="374"/>
      <c r="AA87" s="375"/>
      <c r="AB87" s="373"/>
      <c r="AC87" s="374"/>
      <c r="AD87" s="375"/>
      <c r="AE87" s="373"/>
      <c r="AF87" s="374"/>
      <c r="AG87" s="375"/>
      <c r="AH87" s="373"/>
      <c r="AI87" s="374"/>
      <c r="AJ87" s="376"/>
      <c r="AK87" s="377"/>
      <c r="AL87" s="376"/>
      <c r="AM87" s="373"/>
      <c r="AN87" s="374"/>
      <c r="AO87" s="375"/>
      <c r="AP87" s="373"/>
      <c r="AQ87" s="374"/>
      <c r="AR87" s="375"/>
      <c r="AS87" s="373"/>
      <c r="AT87" s="374"/>
      <c r="AU87" s="375"/>
      <c r="AV87" s="373"/>
      <c r="AW87" s="374"/>
      <c r="AX87" s="376"/>
      <c r="AY87" s="377"/>
      <c r="BA87" s="373"/>
      <c r="BB87" s="374"/>
      <c r="BC87" s="375"/>
      <c r="BD87" s="373"/>
      <c r="BE87" s="374"/>
      <c r="BF87" s="375"/>
      <c r="BG87" s="373"/>
      <c r="BH87" s="374"/>
      <c r="BI87" s="375"/>
      <c r="BJ87" s="373"/>
      <c r="BK87" s="374"/>
      <c r="BL87" s="376"/>
      <c r="BM87" s="377"/>
      <c r="BO87" s="373"/>
      <c r="BP87" s="374"/>
      <c r="BQ87" s="375"/>
      <c r="BR87" s="373"/>
      <c r="BS87" s="374"/>
      <c r="BT87" s="375"/>
      <c r="BU87" s="373"/>
      <c r="BV87" s="374"/>
      <c r="BW87" s="375"/>
      <c r="BX87" s="373"/>
      <c r="BY87" s="374"/>
      <c r="BZ87" s="376"/>
      <c r="CA87" s="377"/>
    </row>
    <row r="88" spans="2:79" ht="29.25" thickBot="1" x14ac:dyDescent="0.3">
      <c r="B88" s="869"/>
      <c r="C88" s="776"/>
      <c r="D88" s="339" t="str">
        <f>+'Plan de Accion 2018'!F132</f>
        <v xml:space="preserve">Atender las reclamaciones administrativas </v>
      </c>
      <c r="E88" s="773"/>
      <c r="F88" s="861"/>
      <c r="G88" s="342"/>
      <c r="H88" s="779">
        <f>+'Plan de Accion 2018'!AD132</f>
        <v>0.22098528400763109</v>
      </c>
      <c r="I88" s="764">
        <f>+'Plan de Accion 2018'!BM132</f>
        <v>0.22098528400763109</v>
      </c>
      <c r="J88" s="770">
        <f>+'Plan de Accion 2018'!AF132</f>
        <v>5.5246321001907774E-2</v>
      </c>
      <c r="K88" s="379"/>
      <c r="L88" s="767">
        <f>+'Plan de Accion 2018'!AN132</f>
        <v>0</v>
      </c>
      <c r="M88" s="764">
        <f>+'Plan de Accion 2018'!BO132</f>
        <v>0</v>
      </c>
      <c r="N88" s="761">
        <f>+'Plan de Accion 2018'!AP132</f>
        <v>5.5246321001907774E-2</v>
      </c>
      <c r="O88" s="379"/>
      <c r="P88" s="767">
        <f>+'Plan de Accion 2018'!AX132</f>
        <v>0</v>
      </c>
      <c r="Q88" s="764">
        <f>+'Plan de Accion 2018'!BQ132</f>
        <v>0</v>
      </c>
      <c r="R88" s="761">
        <f>+'Plan de Accion 2018'!AZ132</f>
        <v>5.5246321001907774E-2</v>
      </c>
      <c r="S88" s="379"/>
      <c r="T88" s="767">
        <f>+'Plan de Accion 2018'!BH132</f>
        <v>0</v>
      </c>
      <c r="U88" s="764">
        <f>+'Plan de Accion 2018'!BS132</f>
        <v>0</v>
      </c>
      <c r="V88" s="761">
        <f>+'Plan de Accion 2018'!BJ132</f>
        <v>5.5246321001907774E-2</v>
      </c>
      <c r="W88" s="371"/>
      <c r="X88" s="372"/>
      <c r="Y88" s="373"/>
      <c r="Z88" s="374"/>
      <c r="AA88" s="375"/>
      <c r="AB88" s="373"/>
      <c r="AC88" s="374"/>
      <c r="AD88" s="375"/>
      <c r="AE88" s="373"/>
      <c r="AF88" s="374"/>
      <c r="AG88" s="375"/>
      <c r="AH88" s="373"/>
      <c r="AI88" s="374"/>
      <c r="AJ88" s="376"/>
      <c r="AK88" s="377"/>
      <c r="AL88" s="376"/>
      <c r="AM88" s="373"/>
      <c r="AN88" s="374"/>
      <c r="AO88" s="375"/>
      <c r="AP88" s="373"/>
      <c r="AQ88" s="374"/>
      <c r="AR88" s="375"/>
      <c r="AS88" s="373"/>
      <c r="AT88" s="374"/>
      <c r="AU88" s="375"/>
      <c r="AV88" s="373"/>
      <c r="AW88" s="374"/>
      <c r="AX88" s="376"/>
      <c r="AY88" s="377"/>
      <c r="BA88" s="373"/>
      <c r="BB88" s="374"/>
      <c r="BC88" s="375"/>
      <c r="BD88" s="373"/>
      <c r="BE88" s="374"/>
      <c r="BF88" s="375"/>
      <c r="BG88" s="373"/>
      <c r="BH88" s="374"/>
      <c r="BI88" s="375"/>
      <c r="BJ88" s="373"/>
      <c r="BK88" s="374"/>
      <c r="BL88" s="376"/>
      <c r="BM88" s="377"/>
      <c r="BO88" s="373"/>
      <c r="BP88" s="374"/>
      <c r="BQ88" s="375"/>
      <c r="BR88" s="373"/>
      <c r="BS88" s="374"/>
      <c r="BT88" s="375"/>
      <c r="BU88" s="373"/>
      <c r="BV88" s="374"/>
      <c r="BW88" s="375"/>
      <c r="BX88" s="373"/>
      <c r="BY88" s="374"/>
      <c r="BZ88" s="376"/>
      <c r="CA88" s="377"/>
    </row>
    <row r="89" spans="2:79" ht="29.25" thickBot="1" x14ac:dyDescent="0.3">
      <c r="B89" s="869"/>
      <c r="C89" s="776"/>
      <c r="D89" s="339" t="str">
        <f>+'Plan de Accion 2018'!F133</f>
        <v>Recurrir los Actos Administrativos interpuestos por COLPENSIONES</v>
      </c>
      <c r="E89" s="773"/>
      <c r="F89" s="861"/>
      <c r="G89" s="342"/>
      <c r="H89" s="779"/>
      <c r="I89" s="765"/>
      <c r="J89" s="771"/>
      <c r="K89" s="380"/>
      <c r="L89" s="768"/>
      <c r="M89" s="765"/>
      <c r="N89" s="762"/>
      <c r="O89" s="380"/>
      <c r="P89" s="768"/>
      <c r="Q89" s="765"/>
      <c r="R89" s="762"/>
      <c r="S89" s="380"/>
      <c r="T89" s="768"/>
      <c r="U89" s="765"/>
      <c r="V89" s="762"/>
      <c r="W89" s="371"/>
      <c r="X89" s="372"/>
      <c r="Y89" s="373"/>
      <c r="Z89" s="374"/>
      <c r="AA89" s="375"/>
      <c r="AB89" s="373"/>
      <c r="AC89" s="374"/>
      <c r="AD89" s="375"/>
      <c r="AE89" s="373"/>
      <c r="AF89" s="374"/>
      <c r="AG89" s="375"/>
      <c r="AH89" s="373"/>
      <c r="AI89" s="374"/>
      <c r="AJ89" s="376"/>
      <c r="AK89" s="377"/>
      <c r="AL89" s="376"/>
      <c r="AM89" s="373"/>
      <c r="AN89" s="374"/>
      <c r="AO89" s="375"/>
      <c r="AP89" s="373"/>
      <c r="AQ89" s="374"/>
      <c r="AR89" s="375"/>
      <c r="AS89" s="373"/>
      <c r="AT89" s="374"/>
      <c r="AU89" s="375"/>
      <c r="AV89" s="373"/>
      <c r="AW89" s="374"/>
      <c r="AX89" s="376"/>
      <c r="AY89" s="377"/>
      <c r="BA89" s="373"/>
      <c r="BB89" s="374"/>
      <c r="BC89" s="375"/>
      <c r="BD89" s="373"/>
      <c r="BE89" s="374"/>
      <c r="BF89" s="375"/>
      <c r="BG89" s="373"/>
      <c r="BH89" s="374"/>
      <c r="BI89" s="375"/>
      <c r="BJ89" s="373"/>
      <c r="BK89" s="374"/>
      <c r="BL89" s="376"/>
      <c r="BM89" s="377"/>
      <c r="BO89" s="373"/>
      <c r="BP89" s="374"/>
      <c r="BQ89" s="375"/>
      <c r="BR89" s="373"/>
      <c r="BS89" s="374"/>
      <c r="BT89" s="375"/>
      <c r="BU89" s="373"/>
      <c r="BV89" s="374"/>
      <c r="BW89" s="375"/>
      <c r="BX89" s="373"/>
      <c r="BY89" s="374"/>
      <c r="BZ89" s="376"/>
      <c r="CA89" s="377"/>
    </row>
    <row r="90" spans="2:79" ht="20.25" thickBot="1" x14ac:dyDescent="0.3">
      <c r="B90" s="869"/>
      <c r="C90" s="776"/>
      <c r="D90" s="339" t="str">
        <f>+'Plan de Accion 2018'!F134</f>
        <v>Trámites de Embargos</v>
      </c>
      <c r="E90" s="773"/>
      <c r="F90" s="861"/>
      <c r="G90" s="342"/>
      <c r="H90" s="779"/>
      <c r="I90" s="766"/>
      <c r="J90" s="772"/>
      <c r="K90" s="380"/>
      <c r="L90" s="769"/>
      <c r="M90" s="766"/>
      <c r="N90" s="763"/>
      <c r="O90" s="380"/>
      <c r="P90" s="769"/>
      <c r="Q90" s="766"/>
      <c r="R90" s="763"/>
      <c r="S90" s="380"/>
      <c r="T90" s="769"/>
      <c r="U90" s="766"/>
      <c r="V90" s="763"/>
      <c r="W90" s="371"/>
      <c r="X90" s="372"/>
      <c r="Y90" s="373"/>
      <c r="Z90" s="374"/>
      <c r="AA90" s="375"/>
      <c r="AB90" s="373"/>
      <c r="AC90" s="374"/>
      <c r="AD90" s="375"/>
      <c r="AE90" s="373"/>
      <c r="AF90" s="374"/>
      <c r="AG90" s="375"/>
      <c r="AH90" s="373"/>
      <c r="AI90" s="374"/>
      <c r="AJ90" s="376"/>
      <c r="AK90" s="377"/>
      <c r="AL90" s="376"/>
      <c r="AM90" s="373"/>
      <c r="AN90" s="374"/>
      <c r="AO90" s="375"/>
      <c r="AP90" s="373"/>
      <c r="AQ90" s="374"/>
      <c r="AR90" s="375"/>
      <c r="AS90" s="373"/>
      <c r="AT90" s="374"/>
      <c r="AU90" s="375"/>
      <c r="AV90" s="373"/>
      <c r="AW90" s="374"/>
      <c r="AX90" s="376"/>
      <c r="AY90" s="377"/>
      <c r="BA90" s="373"/>
      <c r="BB90" s="374"/>
      <c r="BC90" s="375"/>
      <c r="BD90" s="373"/>
      <c r="BE90" s="374"/>
      <c r="BF90" s="375"/>
      <c r="BG90" s="373"/>
      <c r="BH90" s="374"/>
      <c r="BI90" s="375"/>
      <c r="BJ90" s="373"/>
      <c r="BK90" s="374"/>
      <c r="BL90" s="376"/>
      <c r="BM90" s="377"/>
      <c r="BO90" s="373"/>
      <c r="BP90" s="374"/>
      <c r="BQ90" s="375"/>
      <c r="BR90" s="373"/>
      <c r="BS90" s="374"/>
      <c r="BT90" s="375"/>
      <c r="BU90" s="373"/>
      <c r="BV90" s="374"/>
      <c r="BW90" s="375"/>
      <c r="BX90" s="373"/>
      <c r="BY90" s="374"/>
      <c r="BZ90" s="376"/>
      <c r="CA90" s="377"/>
    </row>
    <row r="91" spans="2:79" ht="20.25" thickBot="1" x14ac:dyDescent="0.3">
      <c r="B91" s="869"/>
      <c r="C91" s="776"/>
      <c r="D91" s="339" t="str">
        <f>+'Plan de Accion 2018'!F135</f>
        <v xml:space="preserve">Emisión de Conceptos Jurídicos </v>
      </c>
      <c r="E91" s="773"/>
      <c r="F91" s="861"/>
      <c r="G91" s="342"/>
      <c r="H91" s="336">
        <f>+'Plan de Accion 2018'!AD135</f>
        <v>0.24976384034480933</v>
      </c>
      <c r="I91" s="337">
        <f>+'Plan de Accion 2018'!BM135</f>
        <v>0.24976384034480933</v>
      </c>
      <c r="J91" s="330">
        <f>+'Plan de Accion 2018'!AF135</f>
        <v>6.2440960086202334E-2</v>
      </c>
      <c r="K91" s="329"/>
      <c r="L91" s="336">
        <f>+'Plan de Accion 2018'!AN135</f>
        <v>0</v>
      </c>
      <c r="M91" s="337">
        <f>+'Plan de Accion 2018'!BO135</f>
        <v>0</v>
      </c>
      <c r="N91" s="338">
        <f>+'Plan de Accion 2018'!AP135</f>
        <v>6.2440960086202334E-2</v>
      </c>
      <c r="O91" s="329"/>
      <c r="P91" s="336">
        <f>+'Plan de Accion 2018'!AX135</f>
        <v>0</v>
      </c>
      <c r="Q91" s="337">
        <f>+'Plan de Accion 2018'!BQ135</f>
        <v>0</v>
      </c>
      <c r="R91" s="338">
        <f>+'Plan de Accion 2018'!AZ135</f>
        <v>6.2440960086202334E-2</v>
      </c>
      <c r="S91" s="329"/>
      <c r="T91" s="336">
        <f>+'Plan de Accion 2018'!BH135</f>
        <v>0</v>
      </c>
      <c r="U91" s="337">
        <f>+'Plan de Accion 2018'!BS135</f>
        <v>0</v>
      </c>
      <c r="V91" s="338">
        <f>+'Plan de Accion 2018'!BJ135</f>
        <v>6.2440960086202334E-2</v>
      </c>
      <c r="W91" s="371"/>
      <c r="X91" s="372"/>
      <c r="Y91" s="373"/>
      <c r="Z91" s="374"/>
      <c r="AA91" s="375"/>
      <c r="AB91" s="373"/>
      <c r="AC91" s="374"/>
      <c r="AD91" s="375"/>
      <c r="AE91" s="373"/>
      <c r="AF91" s="374"/>
      <c r="AG91" s="375"/>
      <c r="AH91" s="373"/>
      <c r="AI91" s="374"/>
      <c r="AJ91" s="376"/>
      <c r="AK91" s="377"/>
      <c r="AL91" s="376"/>
      <c r="AM91" s="373"/>
      <c r="AN91" s="374"/>
      <c r="AO91" s="375"/>
      <c r="AP91" s="373"/>
      <c r="AQ91" s="374"/>
      <c r="AR91" s="375"/>
      <c r="AS91" s="373"/>
      <c r="AT91" s="374"/>
      <c r="AU91" s="375"/>
      <c r="AV91" s="373"/>
      <c r="AW91" s="374"/>
      <c r="AX91" s="376"/>
      <c r="AY91" s="377"/>
      <c r="BA91" s="373"/>
      <c r="BB91" s="374"/>
      <c r="BC91" s="375"/>
      <c r="BD91" s="373"/>
      <c r="BE91" s="374"/>
      <c r="BF91" s="375"/>
      <c r="BG91" s="373"/>
      <c r="BH91" s="374"/>
      <c r="BI91" s="375"/>
      <c r="BJ91" s="373"/>
      <c r="BK91" s="374"/>
      <c r="BL91" s="376"/>
      <c r="BM91" s="377"/>
      <c r="BO91" s="373"/>
      <c r="BP91" s="374"/>
      <c r="BQ91" s="375"/>
      <c r="BR91" s="373"/>
      <c r="BS91" s="374"/>
      <c r="BT91" s="375"/>
      <c r="BU91" s="373"/>
      <c r="BV91" s="374"/>
      <c r="BW91" s="375"/>
      <c r="BX91" s="373"/>
      <c r="BY91" s="374"/>
      <c r="BZ91" s="376"/>
      <c r="CA91" s="377"/>
    </row>
    <row r="92" spans="2:79" ht="29.25" thickBot="1" x14ac:dyDescent="0.3">
      <c r="B92" s="869"/>
      <c r="C92" s="776"/>
      <c r="D92" s="339" t="str">
        <f>+'Plan de Accion 2018'!F139</f>
        <v>Depuración de Cartera FOSYGA y/o ADRES</v>
      </c>
      <c r="E92" s="773"/>
      <c r="F92" s="861"/>
      <c r="G92" s="342"/>
      <c r="H92" s="336">
        <f>+'Plan de Accion 2018'!AD139</f>
        <v>0.84444443487978149</v>
      </c>
      <c r="I92" s="337">
        <f>+'Plan de Accion 2018'!BM139</f>
        <v>0.84444443487978149</v>
      </c>
      <c r="J92" s="330">
        <f>+'Plan de Accion 2018'!AF139</f>
        <v>0.21111110871994537</v>
      </c>
      <c r="K92" s="329"/>
      <c r="L92" s="336">
        <f>+'Plan de Accion 2018'!AN139</f>
        <v>0</v>
      </c>
      <c r="M92" s="337">
        <f>+'Plan de Accion 2018'!BO139</f>
        <v>0</v>
      </c>
      <c r="N92" s="338">
        <f>+'Plan de Accion 2018'!AP139</f>
        <v>0.21111110871994537</v>
      </c>
      <c r="O92" s="329"/>
      <c r="P92" s="336">
        <f>+'Plan de Accion 2018'!AX139</f>
        <v>0</v>
      </c>
      <c r="Q92" s="337">
        <f>+'Plan de Accion 2018'!BQ139</f>
        <v>0</v>
      </c>
      <c r="R92" s="338">
        <f>+'Plan de Accion 2018'!AZ139</f>
        <v>0.21111110871994537</v>
      </c>
      <c r="S92" s="329"/>
      <c r="T92" s="336">
        <f>+'Plan de Accion 2018'!BH139</f>
        <v>0</v>
      </c>
      <c r="U92" s="337">
        <f>+'Plan de Accion 2018'!BS139</f>
        <v>0</v>
      </c>
      <c r="V92" s="338">
        <f>+'Plan de Accion 2018'!BJ139</f>
        <v>0.21111110871994537</v>
      </c>
      <c r="W92" s="371"/>
      <c r="X92" s="372"/>
      <c r="Y92" s="373"/>
      <c r="Z92" s="374"/>
      <c r="AA92" s="375"/>
      <c r="AB92" s="373"/>
      <c r="AC92" s="374"/>
      <c r="AD92" s="375"/>
      <c r="AE92" s="373"/>
      <c r="AF92" s="374"/>
      <c r="AG92" s="375"/>
      <c r="AH92" s="373"/>
      <c r="AI92" s="374"/>
      <c r="AJ92" s="376"/>
      <c r="AK92" s="377"/>
      <c r="AL92" s="376"/>
      <c r="AM92" s="373"/>
      <c r="AN92" s="374"/>
      <c r="AO92" s="375"/>
      <c r="AP92" s="373"/>
      <c r="AQ92" s="374"/>
      <c r="AR92" s="375"/>
      <c r="AS92" s="373"/>
      <c r="AT92" s="374"/>
      <c r="AU92" s="375"/>
      <c r="AV92" s="373"/>
      <c r="AW92" s="374"/>
      <c r="AX92" s="376"/>
      <c r="AY92" s="377"/>
      <c r="BA92" s="373"/>
      <c r="BB92" s="374"/>
      <c r="BC92" s="375"/>
      <c r="BD92" s="373"/>
      <c r="BE92" s="374"/>
      <c r="BF92" s="375"/>
      <c r="BG92" s="373"/>
      <c r="BH92" s="374"/>
      <c r="BI92" s="375"/>
      <c r="BJ92" s="373"/>
      <c r="BK92" s="374"/>
      <c r="BL92" s="376"/>
      <c r="BM92" s="377"/>
      <c r="BO92" s="373"/>
      <c r="BP92" s="374"/>
      <c r="BQ92" s="375"/>
      <c r="BR92" s="373"/>
      <c r="BS92" s="374"/>
      <c r="BT92" s="375"/>
      <c r="BU92" s="373"/>
      <c r="BV92" s="374"/>
      <c r="BW92" s="375"/>
      <c r="BX92" s="373"/>
      <c r="BY92" s="374"/>
      <c r="BZ92" s="376"/>
      <c r="CA92" s="377"/>
    </row>
    <row r="93" spans="2:79" ht="20.25" thickBot="1" x14ac:dyDescent="0.3">
      <c r="B93" s="869"/>
      <c r="C93" s="776"/>
      <c r="D93" s="339" t="str">
        <f>+'Plan de Accion 2018'!F154</f>
        <v>Procesos penales</v>
      </c>
      <c r="E93" s="773"/>
      <c r="F93" s="861"/>
      <c r="G93" s="342"/>
      <c r="H93" s="336">
        <f>+'Plan de Accion 2018'!AD154</f>
        <v>0.44677872387190237</v>
      </c>
      <c r="I93" s="337">
        <f>+'Plan de Accion 2018'!BM154</f>
        <v>0.44677872387190237</v>
      </c>
      <c r="J93" s="330">
        <f>+'Plan de Accion 2018'!AF154</f>
        <v>0.11169468096797559</v>
      </c>
      <c r="K93" s="329"/>
      <c r="L93" s="336">
        <f>+'Plan de Accion 2018'!AN154</f>
        <v>0</v>
      </c>
      <c r="M93" s="337">
        <f>+'Plan de Accion 2018'!BO154</f>
        <v>0</v>
      </c>
      <c r="N93" s="338">
        <f>+'Plan de Accion 2018'!AP154</f>
        <v>0.11169468096797559</v>
      </c>
      <c r="O93" s="329"/>
      <c r="P93" s="336">
        <f>+'Plan de Accion 2018'!AX154</f>
        <v>0</v>
      </c>
      <c r="Q93" s="337">
        <f>+'Plan de Accion 2018'!BQ154</f>
        <v>0</v>
      </c>
      <c r="R93" s="338">
        <f>+'Plan de Accion 2018'!AZ154</f>
        <v>0.11169468096797559</v>
      </c>
      <c r="S93" s="329"/>
      <c r="T93" s="336">
        <f>+'Plan de Accion 2018'!BH154</f>
        <v>0</v>
      </c>
      <c r="U93" s="337">
        <f>+'Plan de Accion 2018'!BS154</f>
        <v>0</v>
      </c>
      <c r="V93" s="338">
        <f>+'Plan de Accion 2018'!BJ154</f>
        <v>0.11169468096797559</v>
      </c>
      <c r="W93" s="371"/>
      <c r="X93" s="372"/>
      <c r="Y93" s="373"/>
      <c r="Z93" s="374"/>
      <c r="AA93" s="375"/>
      <c r="AB93" s="373"/>
      <c r="AC93" s="374"/>
      <c r="AD93" s="375"/>
      <c r="AE93" s="373"/>
      <c r="AF93" s="374"/>
      <c r="AG93" s="375"/>
      <c r="AH93" s="373"/>
      <c r="AI93" s="374"/>
      <c r="AJ93" s="376"/>
      <c r="AK93" s="377"/>
      <c r="AL93" s="376"/>
      <c r="AM93" s="373"/>
      <c r="AN93" s="374"/>
      <c r="AO93" s="375"/>
      <c r="AP93" s="373"/>
      <c r="AQ93" s="374"/>
      <c r="AR93" s="375"/>
      <c r="AS93" s="373"/>
      <c r="AT93" s="374"/>
      <c r="AU93" s="375"/>
      <c r="AV93" s="373"/>
      <c r="AW93" s="374"/>
      <c r="AX93" s="376"/>
      <c r="AY93" s="377"/>
      <c r="BA93" s="373"/>
      <c r="BB93" s="374"/>
      <c r="BC93" s="375"/>
      <c r="BD93" s="373"/>
      <c r="BE93" s="374"/>
      <c r="BF93" s="375"/>
      <c r="BG93" s="373"/>
      <c r="BH93" s="374"/>
      <c r="BI93" s="375"/>
      <c r="BJ93" s="373"/>
      <c r="BK93" s="374"/>
      <c r="BL93" s="376"/>
      <c r="BM93" s="377"/>
      <c r="BO93" s="373"/>
      <c r="BP93" s="374"/>
      <c r="BQ93" s="375"/>
      <c r="BR93" s="373"/>
      <c r="BS93" s="374"/>
      <c r="BT93" s="375"/>
      <c r="BU93" s="373"/>
      <c r="BV93" s="374"/>
      <c r="BW93" s="375"/>
      <c r="BX93" s="373"/>
      <c r="BY93" s="374"/>
      <c r="BZ93" s="376"/>
      <c r="CA93" s="377"/>
    </row>
    <row r="94" spans="2:79" ht="72" thickBot="1" x14ac:dyDescent="0.3">
      <c r="B94" s="869"/>
      <c r="C94" s="777"/>
      <c r="D94" s="345" t="str">
        <f>+'Plan de Accion 2018'!F73</f>
        <v>Apoyos técnicos entregados a la OAJ en recobros y reclamaciones una vez son resueltos por la Dirección de Tecnología de la Información</v>
      </c>
      <c r="E94" s="345" t="str">
        <f>+'Plan de Accion 2018'!B73</f>
        <v xml:space="preserve">Dirección de Otras Prestaciones  </v>
      </c>
      <c r="F94" s="862"/>
      <c r="G94" s="342"/>
      <c r="H94" s="348">
        <f>+'Plan de Accion 2018'!AD73</f>
        <v>0.2088888888888889</v>
      </c>
      <c r="I94" s="349">
        <f>+'Plan de Accion 2018'!BM73</f>
        <v>0.2088888888888889</v>
      </c>
      <c r="J94" s="440">
        <f>+'Plan de Accion 2018'!AF73</f>
        <v>5.2222222222222225E-2</v>
      </c>
      <c r="K94" s="329"/>
      <c r="L94" s="348">
        <f>+'Plan de Accion 2018'!AN73</f>
        <v>0</v>
      </c>
      <c r="M94" s="349">
        <f>+'Plan de Accion 2018'!BO73</f>
        <v>0</v>
      </c>
      <c r="N94" s="350">
        <f>+'Plan de Accion 2018'!AP73</f>
        <v>5.2222222222222225E-2</v>
      </c>
      <c r="O94" s="329"/>
      <c r="P94" s="348">
        <f>+'Plan de Accion 2018'!AX73</f>
        <v>0</v>
      </c>
      <c r="Q94" s="349">
        <f>+'Plan de Accion 2018'!BQ73</f>
        <v>0</v>
      </c>
      <c r="R94" s="350">
        <f>+'Plan de Accion 2018'!AZ73</f>
        <v>5.2222222222222225E-2</v>
      </c>
      <c r="S94" s="329"/>
      <c r="T94" s="348">
        <f>+'Plan de Accion 2018'!BH73</f>
        <v>0</v>
      </c>
      <c r="U94" s="349">
        <f>+'Plan de Accion 2018'!BS73</f>
        <v>0</v>
      </c>
      <c r="V94" s="350">
        <f>+'Plan de Accion 2018'!BJ73</f>
        <v>5.2222222222222225E-2</v>
      </c>
      <c r="W94" s="371"/>
      <c r="X94" s="372"/>
      <c r="Y94" s="373"/>
      <c r="Z94" s="374"/>
      <c r="AA94" s="375"/>
      <c r="AB94" s="373"/>
      <c r="AC94" s="374"/>
      <c r="AD94" s="375"/>
      <c r="AE94" s="373"/>
      <c r="AF94" s="374"/>
      <c r="AG94" s="375"/>
      <c r="AH94" s="373"/>
      <c r="AI94" s="374"/>
      <c r="AJ94" s="376"/>
      <c r="AK94" s="377"/>
      <c r="AL94" s="376"/>
      <c r="AM94" s="373"/>
      <c r="AN94" s="374"/>
      <c r="AO94" s="375"/>
      <c r="AP94" s="373"/>
      <c r="AQ94" s="374"/>
      <c r="AR94" s="375"/>
      <c r="AS94" s="373"/>
      <c r="AT94" s="374"/>
      <c r="AU94" s="375"/>
      <c r="AV94" s="373"/>
      <c r="AW94" s="374"/>
      <c r="AX94" s="376"/>
      <c r="AY94" s="377"/>
      <c r="BA94" s="373"/>
      <c r="BB94" s="374"/>
      <c r="BC94" s="375"/>
      <c r="BD94" s="373"/>
      <c r="BE94" s="374"/>
      <c r="BF94" s="375"/>
      <c r="BG94" s="373"/>
      <c r="BH94" s="374"/>
      <c r="BI94" s="375"/>
      <c r="BJ94" s="373"/>
      <c r="BK94" s="374"/>
      <c r="BL94" s="376"/>
      <c r="BM94" s="377"/>
      <c r="BO94" s="373"/>
      <c r="BP94" s="374"/>
      <c r="BQ94" s="375"/>
      <c r="BR94" s="373"/>
      <c r="BS94" s="374"/>
      <c r="BT94" s="375"/>
      <c r="BU94" s="373"/>
      <c r="BV94" s="374"/>
      <c r="BW94" s="375"/>
      <c r="BX94" s="373"/>
      <c r="BY94" s="374"/>
      <c r="BZ94" s="376"/>
      <c r="CA94" s="377"/>
    </row>
    <row r="95" spans="2:79" ht="20.25" thickBot="1" x14ac:dyDescent="0.3">
      <c r="B95" s="870"/>
      <c r="C95" s="814" t="s">
        <v>798</v>
      </c>
      <c r="D95" s="815"/>
      <c r="E95" s="815"/>
      <c r="F95" s="816"/>
      <c r="G95" s="342"/>
      <c r="H95" s="367" t="s">
        <v>792</v>
      </c>
      <c r="I95" s="353">
        <f>SUM(I75:I94)/COUNT(I75:I94)</f>
        <v>0.3940817611520942</v>
      </c>
      <c r="J95" s="355">
        <f>SUM(J75:J94)/COUNT(J75:J94)</f>
        <v>8.8558984757556927E-2</v>
      </c>
      <c r="K95" s="378"/>
      <c r="L95" s="367" t="s">
        <v>792</v>
      </c>
      <c r="M95" s="353">
        <f>SUM(M75:M94)/COUNT(M75:M94)</f>
        <v>0</v>
      </c>
      <c r="N95" s="355">
        <f>SUM(N75:N94)/COUNT(N75:N94)</f>
        <v>8.8558984757556927E-2</v>
      </c>
      <c r="O95" s="378"/>
      <c r="P95" s="367" t="s">
        <v>792</v>
      </c>
      <c r="Q95" s="353">
        <f>SUM(Q75:Q94)/COUNT(Q75:Q94)</f>
        <v>0</v>
      </c>
      <c r="R95" s="355">
        <f>SUM(R75:R94)/COUNT(R75:R94)</f>
        <v>8.8558984757556927E-2</v>
      </c>
      <c r="S95" s="378"/>
      <c r="T95" s="367" t="s">
        <v>792</v>
      </c>
      <c r="U95" s="353">
        <f>SUM(U75:U94)/COUNT(U75:U94)</f>
        <v>0</v>
      </c>
      <c r="V95" s="355">
        <f>SUM(V75:V94)/COUNT(V75:V94)</f>
        <v>8.8558984757556927E-2</v>
      </c>
      <c r="W95" s="371"/>
      <c r="X95" s="372"/>
      <c r="Y95" s="373"/>
      <c r="Z95" s="374"/>
      <c r="AA95" s="375"/>
      <c r="AB95" s="373"/>
      <c r="AC95" s="374"/>
      <c r="AD95" s="375"/>
      <c r="AE95" s="373"/>
      <c r="AF95" s="374"/>
      <c r="AG95" s="375"/>
      <c r="AH95" s="373"/>
      <c r="AI95" s="374"/>
      <c r="AJ95" s="376"/>
      <c r="AK95" s="377"/>
      <c r="AL95" s="376"/>
      <c r="AM95" s="373"/>
      <c r="AN95" s="374"/>
      <c r="AO95" s="375"/>
      <c r="AP95" s="373"/>
      <c r="AQ95" s="374"/>
      <c r="AR95" s="375"/>
      <c r="AS95" s="373"/>
      <c r="AT95" s="374"/>
      <c r="AU95" s="375"/>
      <c r="AV95" s="373"/>
      <c r="AW95" s="374"/>
      <c r="AX95" s="376"/>
      <c r="AY95" s="377"/>
      <c r="BA95" s="373"/>
      <c r="BB95" s="374"/>
      <c r="BC95" s="375"/>
      <c r="BD95" s="373"/>
      <c r="BE95" s="374"/>
      <c r="BF95" s="375"/>
      <c r="BG95" s="373"/>
      <c r="BH95" s="374"/>
      <c r="BI95" s="375"/>
      <c r="BJ95" s="373"/>
      <c r="BK95" s="374"/>
      <c r="BL95" s="376"/>
      <c r="BM95" s="377"/>
      <c r="BO95" s="373"/>
      <c r="BP95" s="374"/>
      <c r="BQ95" s="375"/>
      <c r="BR95" s="373"/>
      <c r="BS95" s="374"/>
      <c r="BT95" s="375"/>
      <c r="BU95" s="373"/>
      <c r="BV95" s="374"/>
      <c r="BW95" s="375"/>
      <c r="BX95" s="373"/>
      <c r="BY95" s="374"/>
      <c r="BZ95" s="376"/>
      <c r="CA95" s="377"/>
    </row>
    <row r="96" spans="2:79" s="302" customFormat="1" ht="20.25" customHeight="1" thickBot="1" x14ac:dyDescent="0.3">
      <c r="B96" s="869"/>
      <c r="C96" s="775" t="s">
        <v>144</v>
      </c>
      <c r="D96" s="369" t="str">
        <f>+'Plan de Accion 2018'!F48</f>
        <v>Proceso de Compensación</v>
      </c>
      <c r="E96" s="782" t="str">
        <f>+'Plan de Accion 2018'!B48</f>
        <v>Dirección de Liquidaciones y Garantías</v>
      </c>
      <c r="F96" s="866" t="s">
        <v>816</v>
      </c>
      <c r="G96" s="342"/>
      <c r="H96" s="327">
        <f>+'Plan de Accion 2018'!AD48</f>
        <v>0.44241857965798992</v>
      </c>
      <c r="I96" s="328">
        <f>+'Plan de Accion 2018'!BM48</f>
        <v>0.44241857965798992</v>
      </c>
      <c r="J96" s="330">
        <f>+'Plan de Accion 2018'!AF48</f>
        <v>0.19035873318791358</v>
      </c>
      <c r="K96" s="329"/>
      <c r="L96" s="327">
        <f>+'Plan de Accion 2018'!AN48</f>
        <v>0</v>
      </c>
      <c r="M96" s="328">
        <f>+'Plan de Accion 2018'!BO48</f>
        <v>0</v>
      </c>
      <c r="N96" s="330">
        <f>+'Plan de Accion 2018'!AP48</f>
        <v>0.19035873318791358</v>
      </c>
      <c r="O96" s="329"/>
      <c r="P96" s="327">
        <f>+'Plan de Accion 2018'!AX48</f>
        <v>0</v>
      </c>
      <c r="Q96" s="328">
        <f>+'Plan de Accion 2018'!BQ48</f>
        <v>0</v>
      </c>
      <c r="R96" s="330">
        <f>+'Plan de Accion 2018'!AZ48</f>
        <v>0.19035873318791358</v>
      </c>
      <c r="S96" s="329"/>
      <c r="T96" s="327">
        <f>+'Plan de Accion 2018'!BH48</f>
        <v>0</v>
      </c>
      <c r="U96" s="328">
        <f>+'Plan de Accion 2018'!BS48</f>
        <v>0</v>
      </c>
      <c r="V96" s="330">
        <f>+'Plan de Accion 2018'!BJ48</f>
        <v>0.19035873318791358</v>
      </c>
      <c r="W96" s="381"/>
      <c r="X96" s="382"/>
      <c r="Y96" s="383"/>
      <c r="Z96" s="384"/>
      <c r="AA96" s="385"/>
      <c r="AB96" s="383"/>
      <c r="AC96" s="384"/>
      <c r="AD96" s="385"/>
      <c r="AE96" s="383"/>
      <c r="AF96" s="384"/>
      <c r="AG96" s="385"/>
      <c r="AH96" s="383"/>
      <c r="AI96" s="384"/>
      <c r="AJ96" s="385"/>
      <c r="AK96" s="386"/>
      <c r="AL96" s="385"/>
      <c r="AM96" s="383"/>
      <c r="AN96" s="384"/>
      <c r="AO96" s="385"/>
      <c r="AP96" s="383"/>
      <c r="AQ96" s="384"/>
      <c r="AR96" s="385"/>
      <c r="AS96" s="383"/>
      <c r="AT96" s="384"/>
      <c r="AU96" s="385"/>
      <c r="AV96" s="383"/>
      <c r="AW96" s="384"/>
      <c r="AX96" s="385"/>
      <c r="AY96" s="386"/>
      <c r="BA96" s="383"/>
      <c r="BB96" s="384"/>
      <c r="BC96" s="385"/>
      <c r="BD96" s="383"/>
      <c r="BE96" s="384"/>
      <c r="BF96" s="385"/>
      <c r="BG96" s="383"/>
      <c r="BH96" s="384"/>
      <c r="BI96" s="385"/>
      <c r="BJ96" s="383"/>
      <c r="BK96" s="384"/>
      <c r="BL96" s="385"/>
      <c r="BM96" s="386"/>
      <c r="BO96" s="383"/>
      <c r="BP96" s="384"/>
      <c r="BQ96" s="385"/>
      <c r="BR96" s="383"/>
      <c r="BS96" s="384"/>
      <c r="BT96" s="385"/>
      <c r="BU96" s="383"/>
      <c r="BV96" s="384"/>
      <c r="BW96" s="385"/>
      <c r="BX96" s="383"/>
      <c r="BY96" s="384"/>
      <c r="BZ96" s="385"/>
      <c r="CA96" s="386"/>
    </row>
    <row r="97" spans="2:79" s="302" customFormat="1" ht="20.25" thickBot="1" x14ac:dyDescent="0.3">
      <c r="B97" s="869"/>
      <c r="C97" s="775"/>
      <c r="D97" s="450" t="str">
        <f>+'Plan de Accion 2018'!F52</f>
        <v>Prestaciones económicas REX</v>
      </c>
      <c r="E97" s="783"/>
      <c r="F97" s="867"/>
      <c r="G97" s="342"/>
      <c r="H97" s="327">
        <f>+'Plan de Accion 2018'!AD52</f>
        <v>0.38422896519305616</v>
      </c>
      <c r="I97" s="328">
        <f>+'Plan de Accion 2018'!BM52</f>
        <v>0.38422896519305616</v>
      </c>
      <c r="J97" s="330">
        <f>+'Plan de Accion 2018'!AF52</f>
        <v>0.10806439646054704</v>
      </c>
      <c r="K97" s="329"/>
      <c r="L97" s="327">
        <f>+'Plan de Accion 2018'!AN52</f>
        <v>0</v>
      </c>
      <c r="M97" s="328">
        <f>+'Plan de Accion 2018'!BO52</f>
        <v>0</v>
      </c>
      <c r="N97" s="330">
        <f>+'Plan de Accion 2018'!AP52</f>
        <v>0.10806439646054704</v>
      </c>
      <c r="O97" s="329"/>
      <c r="P97" s="327">
        <f>+'Plan de Accion 2018'!AX52</f>
        <v>0</v>
      </c>
      <c r="Q97" s="328">
        <f>+'Plan de Accion 2018'!BQ52</f>
        <v>0</v>
      </c>
      <c r="R97" s="330">
        <f>+'Plan de Accion 2018'!AZ52</f>
        <v>0.10806439646054704</v>
      </c>
      <c r="S97" s="329"/>
      <c r="T97" s="327">
        <f>+'Plan de Accion 2018'!BH52</f>
        <v>0</v>
      </c>
      <c r="U97" s="328">
        <f>+'Plan de Accion 2018'!BS52</f>
        <v>0</v>
      </c>
      <c r="V97" s="330">
        <f>+'Plan de Accion 2018'!BJ52</f>
        <v>0.10806439646054704</v>
      </c>
      <c r="W97" s="381"/>
      <c r="X97" s="382"/>
      <c r="Y97" s="383"/>
      <c r="Z97" s="384"/>
      <c r="AA97" s="385"/>
      <c r="AB97" s="383"/>
      <c r="AC97" s="384"/>
      <c r="AD97" s="385"/>
      <c r="AE97" s="383"/>
      <c r="AF97" s="384"/>
      <c r="AG97" s="385"/>
      <c r="AH97" s="383"/>
      <c r="AI97" s="384"/>
      <c r="AJ97" s="385"/>
      <c r="AK97" s="386"/>
      <c r="AL97" s="385"/>
      <c r="AM97" s="383"/>
      <c r="AN97" s="384"/>
      <c r="AO97" s="385"/>
      <c r="AP97" s="383"/>
      <c r="AQ97" s="384"/>
      <c r="AR97" s="385"/>
      <c r="AS97" s="383"/>
      <c r="AT97" s="384"/>
      <c r="AU97" s="385"/>
      <c r="AV97" s="383"/>
      <c r="AW97" s="384"/>
      <c r="AX97" s="385"/>
      <c r="AY97" s="386"/>
      <c r="BA97" s="383"/>
      <c r="BB97" s="384"/>
      <c r="BC97" s="385"/>
      <c r="BD97" s="383"/>
      <c r="BE97" s="384"/>
      <c r="BF97" s="385"/>
      <c r="BG97" s="383"/>
      <c r="BH97" s="384"/>
      <c r="BI97" s="385"/>
      <c r="BJ97" s="383"/>
      <c r="BK97" s="384"/>
      <c r="BL97" s="385"/>
      <c r="BM97" s="386"/>
      <c r="BO97" s="383"/>
      <c r="BP97" s="384"/>
      <c r="BQ97" s="385"/>
      <c r="BR97" s="383"/>
      <c r="BS97" s="384"/>
      <c r="BT97" s="385"/>
      <c r="BU97" s="383"/>
      <c r="BV97" s="384"/>
      <c r="BW97" s="385"/>
      <c r="BX97" s="383"/>
      <c r="BY97" s="384"/>
      <c r="BZ97" s="385"/>
      <c r="CA97" s="386"/>
    </row>
    <row r="98" spans="2:79" s="302" customFormat="1" ht="20.25" thickBot="1" x14ac:dyDescent="0.3">
      <c r="B98" s="869"/>
      <c r="C98" s="776"/>
      <c r="D98" s="339" t="str">
        <f>+'Plan de Accion 2018'!F53</f>
        <v>Prestaciones económicas REX</v>
      </c>
      <c r="E98" s="783"/>
      <c r="F98" s="867"/>
      <c r="G98" s="342"/>
      <c r="H98" s="336">
        <f>+'Plan de Accion 2018'!AD53</f>
        <v>0.60153619281045756</v>
      </c>
      <c r="I98" s="337">
        <f>+'Plan de Accion 2018'!BM53</f>
        <v>0.60153619281045756</v>
      </c>
      <c r="J98" s="330">
        <f>+'Plan de Accion 2018'!AF53</f>
        <v>0.15038404820261439</v>
      </c>
      <c r="K98" s="329"/>
      <c r="L98" s="336">
        <f>+'Plan de Accion 2018'!AN53</f>
        <v>0</v>
      </c>
      <c r="M98" s="337">
        <f>+'Plan de Accion 2018'!BO53</f>
        <v>0</v>
      </c>
      <c r="N98" s="338">
        <f>+'Plan de Accion 2018'!AP53</f>
        <v>0.15038404820261439</v>
      </c>
      <c r="O98" s="329"/>
      <c r="P98" s="336">
        <f>+'Plan de Accion 2018'!AX53</f>
        <v>0</v>
      </c>
      <c r="Q98" s="337">
        <f>+'Plan de Accion 2018'!BQ53</f>
        <v>0</v>
      </c>
      <c r="R98" s="338">
        <f>+'Plan de Accion 2018'!AZ53</f>
        <v>0.15038404820261439</v>
      </c>
      <c r="S98" s="329"/>
      <c r="T98" s="336">
        <f>+'Plan de Accion 2018'!BH53</f>
        <v>0</v>
      </c>
      <c r="U98" s="337">
        <f>+'Plan de Accion 2018'!BS53</f>
        <v>0</v>
      </c>
      <c r="V98" s="338">
        <f>+'Plan de Accion 2018'!BJ53</f>
        <v>0.15038404820261439</v>
      </c>
      <c r="W98" s="381"/>
      <c r="X98" s="382"/>
      <c r="Y98" s="383"/>
      <c r="Z98" s="384"/>
      <c r="AA98" s="385"/>
      <c r="AB98" s="383"/>
      <c r="AC98" s="384"/>
      <c r="AD98" s="385"/>
      <c r="AE98" s="383"/>
      <c r="AF98" s="384"/>
      <c r="AG98" s="385"/>
      <c r="AH98" s="383"/>
      <c r="AI98" s="384"/>
      <c r="AJ98" s="385"/>
      <c r="AK98" s="386"/>
      <c r="AL98" s="385"/>
      <c r="AM98" s="383"/>
      <c r="AN98" s="384"/>
      <c r="AO98" s="385"/>
      <c r="AP98" s="383"/>
      <c r="AQ98" s="384"/>
      <c r="AR98" s="385"/>
      <c r="AS98" s="383"/>
      <c r="AT98" s="384"/>
      <c r="AU98" s="385"/>
      <c r="AV98" s="383"/>
      <c r="AW98" s="384"/>
      <c r="AX98" s="385"/>
      <c r="AY98" s="386"/>
      <c r="BA98" s="383"/>
      <c r="BB98" s="384"/>
      <c r="BC98" s="385"/>
      <c r="BD98" s="383"/>
      <c r="BE98" s="384"/>
      <c r="BF98" s="385"/>
      <c r="BG98" s="383"/>
      <c r="BH98" s="384"/>
      <c r="BI98" s="385"/>
      <c r="BJ98" s="383"/>
      <c r="BK98" s="384"/>
      <c r="BL98" s="385"/>
      <c r="BM98" s="386"/>
      <c r="BO98" s="383"/>
      <c r="BP98" s="384"/>
      <c r="BQ98" s="385"/>
      <c r="BR98" s="383"/>
      <c r="BS98" s="384"/>
      <c r="BT98" s="385"/>
      <c r="BU98" s="383"/>
      <c r="BV98" s="384"/>
      <c r="BW98" s="385"/>
      <c r="BX98" s="383"/>
      <c r="BY98" s="384"/>
      <c r="BZ98" s="385"/>
      <c r="CA98" s="386"/>
    </row>
    <row r="99" spans="2:79" s="302" customFormat="1" ht="20.25" thickBot="1" x14ac:dyDescent="0.3">
      <c r="B99" s="869"/>
      <c r="C99" s="776"/>
      <c r="D99" s="339" t="str">
        <f>+'Plan de Accion 2018'!F63</f>
        <v xml:space="preserve">Estudios del Sector </v>
      </c>
      <c r="E99" s="783"/>
      <c r="F99" s="867"/>
      <c r="G99" s="342"/>
      <c r="H99" s="336">
        <f>+'Plan de Accion 2018'!AD63</f>
        <v>0</v>
      </c>
      <c r="I99" s="337">
        <f>+'Plan de Accion 2018'!BM63</f>
        <v>0</v>
      </c>
      <c r="J99" s="330">
        <f>+'Plan de Accion 2018'!AF63</f>
        <v>0</v>
      </c>
      <c r="K99" s="329"/>
      <c r="L99" s="336" t="e">
        <f>+'Plan de Accion 2018'!AN63</f>
        <v>#DIV/0!</v>
      </c>
      <c r="M99" s="337" t="str">
        <f>+'Plan de Accion 2018'!BO63</f>
        <v>No Prog ni Ejec</v>
      </c>
      <c r="N99" s="338">
        <f>+'Plan de Accion 2018'!AP63</f>
        <v>0</v>
      </c>
      <c r="O99" s="329"/>
      <c r="P99" s="336" t="e">
        <f>+'Plan de Accion 2018'!AX63</f>
        <v>#DIV/0!</v>
      </c>
      <c r="Q99" s="337" t="str">
        <f>+'Plan de Accion 2018'!BQ63</f>
        <v>No Prog ni Ejec</v>
      </c>
      <c r="R99" s="338">
        <f>+'Plan de Accion 2018'!AZ63</f>
        <v>0</v>
      </c>
      <c r="S99" s="329"/>
      <c r="T99" s="336" t="e">
        <f>+'Plan de Accion 2018'!BH63</f>
        <v>#DIV/0!</v>
      </c>
      <c r="U99" s="337" t="str">
        <f>+'Plan de Accion 2018'!BS63</f>
        <v>No Prog ni Ejec</v>
      </c>
      <c r="V99" s="338">
        <f>+'Plan de Accion 2018'!BJ63</f>
        <v>0</v>
      </c>
      <c r="W99" s="381"/>
      <c r="X99" s="382"/>
      <c r="Y99" s="383"/>
      <c r="Z99" s="384"/>
      <c r="AA99" s="385"/>
      <c r="AB99" s="383"/>
      <c r="AC99" s="384"/>
      <c r="AD99" s="385"/>
      <c r="AE99" s="383"/>
      <c r="AF99" s="384"/>
      <c r="AG99" s="385"/>
      <c r="AH99" s="383"/>
      <c r="AI99" s="384"/>
      <c r="AJ99" s="385"/>
      <c r="AK99" s="386"/>
      <c r="AL99" s="385"/>
      <c r="AM99" s="383"/>
      <c r="AN99" s="384"/>
      <c r="AO99" s="385"/>
      <c r="AP99" s="383"/>
      <c r="AQ99" s="384"/>
      <c r="AR99" s="385"/>
      <c r="AS99" s="383"/>
      <c r="AT99" s="384"/>
      <c r="AU99" s="385"/>
      <c r="AV99" s="383"/>
      <c r="AW99" s="384"/>
      <c r="AX99" s="385"/>
      <c r="AY99" s="386"/>
      <c r="BA99" s="383"/>
      <c r="BB99" s="384"/>
      <c r="BC99" s="385"/>
      <c r="BD99" s="383"/>
      <c r="BE99" s="384"/>
      <c r="BF99" s="385"/>
      <c r="BG99" s="383"/>
      <c r="BH99" s="384"/>
      <c r="BI99" s="385"/>
      <c r="BJ99" s="383"/>
      <c r="BK99" s="384"/>
      <c r="BL99" s="385"/>
      <c r="BM99" s="386"/>
      <c r="BO99" s="383"/>
      <c r="BP99" s="384"/>
      <c r="BQ99" s="385"/>
      <c r="BR99" s="383"/>
      <c r="BS99" s="384"/>
      <c r="BT99" s="385"/>
      <c r="BU99" s="383"/>
      <c r="BV99" s="384"/>
      <c r="BW99" s="385"/>
      <c r="BX99" s="383"/>
      <c r="BY99" s="384"/>
      <c r="BZ99" s="385"/>
      <c r="CA99" s="386"/>
    </row>
    <row r="100" spans="2:79" s="302" customFormat="1" ht="20.25" thickBot="1" x14ac:dyDescent="0.3">
      <c r="B100" s="869"/>
      <c r="C100" s="776"/>
      <c r="D100" s="452" t="str">
        <f>+'Plan de Accion 2018'!F156</f>
        <v>Convenio Cafesalud</v>
      </c>
      <c r="E100" s="784"/>
      <c r="F100" s="867"/>
      <c r="G100" s="342"/>
      <c r="H100" s="336">
        <f>+'Plan de Accion 2018'!AD156</f>
        <v>0.99667774086378735</v>
      </c>
      <c r="I100" s="337">
        <f>+'Plan de Accion 2018'!BM156</f>
        <v>0.99667774086378735</v>
      </c>
      <c r="J100" s="330">
        <f>+'Plan de Accion 2018'!AF156</f>
        <v>0.42857142857142855</v>
      </c>
      <c r="K100" s="329"/>
      <c r="L100" s="336">
        <f>+'Plan de Accion 2018'!AN156</f>
        <v>0</v>
      </c>
      <c r="M100" s="337">
        <f>+'Plan de Accion 2018'!BO156</f>
        <v>0</v>
      </c>
      <c r="N100" s="338">
        <f>+'Plan de Accion 2018'!AP156</f>
        <v>0.42857142857142855</v>
      </c>
      <c r="O100" s="329"/>
      <c r="P100" s="336" t="e">
        <f>+'Plan de Accion 2018'!AX156</f>
        <v>#DIV/0!</v>
      </c>
      <c r="Q100" s="337" t="str">
        <f>+'Plan de Accion 2018'!BQ156</f>
        <v>No Prog ni Ejec</v>
      </c>
      <c r="R100" s="338">
        <f>+'Plan de Accion 2018'!AZ156</f>
        <v>0.42857142857142855</v>
      </c>
      <c r="S100" s="329"/>
      <c r="T100" s="336" t="e">
        <f>+'Plan de Accion 2018'!BH156</f>
        <v>#DIV/0!</v>
      </c>
      <c r="U100" s="337" t="str">
        <f>+'Plan de Accion 2018'!BS156</f>
        <v>No Prog ni Ejec</v>
      </c>
      <c r="V100" s="338">
        <f>+'Plan de Accion 2018'!BJ156</f>
        <v>0.42857142857142855</v>
      </c>
      <c r="W100" s="381"/>
      <c r="X100" s="382"/>
      <c r="Y100" s="383"/>
      <c r="Z100" s="384"/>
      <c r="AA100" s="385"/>
      <c r="AB100" s="383"/>
      <c r="AC100" s="384"/>
      <c r="AD100" s="385"/>
      <c r="AE100" s="383"/>
      <c r="AF100" s="384"/>
      <c r="AG100" s="385"/>
      <c r="AH100" s="383"/>
      <c r="AI100" s="384"/>
      <c r="AJ100" s="385"/>
      <c r="AK100" s="386"/>
      <c r="AL100" s="385"/>
      <c r="AM100" s="383"/>
      <c r="AN100" s="384"/>
      <c r="AO100" s="385"/>
      <c r="AP100" s="383"/>
      <c r="AQ100" s="384"/>
      <c r="AR100" s="385"/>
      <c r="AS100" s="383"/>
      <c r="AT100" s="384"/>
      <c r="AU100" s="385"/>
      <c r="AV100" s="383"/>
      <c r="AW100" s="384"/>
      <c r="AX100" s="385"/>
      <c r="AY100" s="386"/>
      <c r="BA100" s="383"/>
      <c r="BB100" s="384"/>
      <c r="BC100" s="385"/>
      <c r="BD100" s="383"/>
      <c r="BE100" s="384"/>
      <c r="BF100" s="385"/>
      <c r="BG100" s="383"/>
      <c r="BH100" s="384"/>
      <c r="BI100" s="385"/>
      <c r="BJ100" s="383"/>
      <c r="BK100" s="384"/>
      <c r="BL100" s="385"/>
      <c r="BM100" s="386"/>
      <c r="BO100" s="383"/>
      <c r="BP100" s="384"/>
      <c r="BQ100" s="385"/>
      <c r="BR100" s="383"/>
      <c r="BS100" s="384"/>
      <c r="BT100" s="385"/>
      <c r="BU100" s="383"/>
      <c r="BV100" s="384"/>
      <c r="BW100" s="385"/>
      <c r="BX100" s="383"/>
      <c r="BY100" s="384"/>
      <c r="BZ100" s="385"/>
      <c r="CA100" s="386"/>
    </row>
    <row r="101" spans="2:79" s="302" customFormat="1" ht="57.75" customHeight="1" thickBot="1" x14ac:dyDescent="0.3">
      <c r="B101" s="869"/>
      <c r="C101" s="776"/>
      <c r="D101" s="774" t="str">
        <f>+'Plan de Accion 2018'!F68</f>
        <v>Paquetes de recobros cuyo trámite de auditoría haya culminado, reconocidos y pagados por parte de ADRES.</v>
      </c>
      <c r="E101" s="773" t="str">
        <f>+'Plan de Accion 2018'!B68</f>
        <v xml:space="preserve">Dirección de Otras Prestaciones  </v>
      </c>
      <c r="F101" s="867"/>
      <c r="G101" s="342"/>
      <c r="H101" s="336">
        <f>+'Plan de Accion 2018'!AD68</f>
        <v>1.3111561756927597</v>
      </c>
      <c r="I101" s="337">
        <f>+'Plan de Accion 2018'!BM68</f>
        <v>1.3111561756927597</v>
      </c>
      <c r="J101" s="330">
        <f>+'Plan de Accion 2018'!AF68</f>
        <v>0.32778904392318992</v>
      </c>
      <c r="K101" s="329"/>
      <c r="L101" s="336">
        <f>+'Plan de Accion 2018'!AN68</f>
        <v>0</v>
      </c>
      <c r="M101" s="337">
        <f>+'Plan de Accion 2018'!BO68</f>
        <v>0</v>
      </c>
      <c r="N101" s="338">
        <f>+'Plan de Accion 2018'!AP68</f>
        <v>0.32778904392318992</v>
      </c>
      <c r="O101" s="329"/>
      <c r="P101" s="336">
        <f>+'Plan de Accion 2018'!AX68</f>
        <v>0</v>
      </c>
      <c r="Q101" s="337">
        <f>+'Plan de Accion 2018'!BQ68</f>
        <v>0</v>
      </c>
      <c r="R101" s="338">
        <f>+'Plan de Accion 2018'!AZ68</f>
        <v>0.32778904392318992</v>
      </c>
      <c r="S101" s="329"/>
      <c r="T101" s="336">
        <f>+'Plan de Accion 2018'!BH68</f>
        <v>0</v>
      </c>
      <c r="U101" s="337">
        <f>+'Plan de Accion 2018'!BS68</f>
        <v>0</v>
      </c>
      <c r="V101" s="338">
        <f>+'Plan de Accion 2018'!BJ68</f>
        <v>0.32778904392318992</v>
      </c>
      <c r="W101" s="381"/>
      <c r="X101" s="382"/>
      <c r="Y101" s="383"/>
      <c r="Z101" s="384"/>
      <c r="AA101" s="385"/>
      <c r="AB101" s="383"/>
      <c r="AC101" s="384"/>
      <c r="AD101" s="385"/>
      <c r="AE101" s="383"/>
      <c r="AF101" s="384"/>
      <c r="AG101" s="385"/>
      <c r="AH101" s="383"/>
      <c r="AI101" s="384"/>
      <c r="AJ101" s="385"/>
      <c r="AK101" s="386"/>
      <c r="AL101" s="385"/>
      <c r="AM101" s="383"/>
      <c r="AN101" s="384"/>
      <c r="AO101" s="385"/>
      <c r="AP101" s="383"/>
      <c r="AQ101" s="384"/>
      <c r="AR101" s="385"/>
      <c r="AS101" s="383"/>
      <c r="AT101" s="384"/>
      <c r="AU101" s="385"/>
      <c r="AV101" s="383"/>
      <c r="AW101" s="384"/>
      <c r="AX101" s="385"/>
      <c r="AY101" s="386"/>
      <c r="BA101" s="383"/>
      <c r="BB101" s="384"/>
      <c r="BC101" s="385"/>
      <c r="BD101" s="383"/>
      <c r="BE101" s="384"/>
      <c r="BF101" s="385"/>
      <c r="BG101" s="383"/>
      <c r="BH101" s="384"/>
      <c r="BI101" s="385"/>
      <c r="BJ101" s="383"/>
      <c r="BK101" s="384"/>
      <c r="BL101" s="385"/>
      <c r="BM101" s="386"/>
      <c r="BO101" s="383"/>
      <c r="BP101" s="384"/>
      <c r="BQ101" s="385"/>
      <c r="BR101" s="383"/>
      <c r="BS101" s="384"/>
      <c r="BT101" s="385"/>
      <c r="BU101" s="383"/>
      <c r="BV101" s="384"/>
      <c r="BW101" s="385"/>
      <c r="BX101" s="383"/>
      <c r="BY101" s="384"/>
      <c r="BZ101" s="385"/>
      <c r="CA101" s="386"/>
    </row>
    <row r="102" spans="2:79" s="302" customFormat="1" ht="20.25" thickBot="1" x14ac:dyDescent="0.3">
      <c r="B102" s="869"/>
      <c r="C102" s="777"/>
      <c r="D102" s="778"/>
      <c r="E102" s="774"/>
      <c r="F102" s="867"/>
      <c r="G102" s="342"/>
      <c r="H102" s="336" t="e">
        <f>+'Plan de Accion 2018'!AD69</f>
        <v>#DIV/0!</v>
      </c>
      <c r="I102" s="337" t="str">
        <f>+'Plan de Accion 2018'!BM69</f>
        <v>No Prog ni Ejec</v>
      </c>
      <c r="J102" s="330">
        <f>+'Plan de Accion 2018'!AF69</f>
        <v>0</v>
      </c>
      <c r="K102" s="329"/>
      <c r="L102" s="336" t="e">
        <f>+'Plan de Accion 2018'!AN69</f>
        <v>#DIV/0!</v>
      </c>
      <c r="M102" s="337" t="str">
        <f>+'Plan de Accion 2018'!BO69</f>
        <v>No Prog ni Ejec</v>
      </c>
      <c r="N102" s="338">
        <f>+'Plan de Accion 2018'!AP69</f>
        <v>0</v>
      </c>
      <c r="O102" s="329"/>
      <c r="P102" s="336" t="e">
        <f>+'Plan de Accion 2018'!AX69</f>
        <v>#DIV/0!</v>
      </c>
      <c r="Q102" s="337" t="str">
        <f>+'Plan de Accion 2018'!BQ69</f>
        <v>No Prog ni Ejec</v>
      </c>
      <c r="R102" s="338">
        <f>+'Plan de Accion 2018'!AZ69</f>
        <v>0</v>
      </c>
      <c r="S102" s="329"/>
      <c r="T102" s="336">
        <f>+'Plan de Accion 2018'!BH69</f>
        <v>0</v>
      </c>
      <c r="U102" s="337">
        <f>+'Plan de Accion 2018'!BS69</f>
        <v>0</v>
      </c>
      <c r="V102" s="338">
        <f>+'Plan de Accion 2018'!BJ69</f>
        <v>0</v>
      </c>
      <c r="W102" s="381"/>
      <c r="X102" s="382"/>
      <c r="Y102" s="383"/>
      <c r="Z102" s="384"/>
      <c r="AA102" s="385"/>
      <c r="AB102" s="383"/>
      <c r="AC102" s="384"/>
      <c r="AD102" s="385"/>
      <c r="AE102" s="383"/>
      <c r="AF102" s="384"/>
      <c r="AG102" s="385"/>
      <c r="AH102" s="383"/>
      <c r="AI102" s="384"/>
      <c r="AJ102" s="385"/>
      <c r="AK102" s="386"/>
      <c r="AL102" s="385"/>
      <c r="AM102" s="383"/>
      <c r="AN102" s="384"/>
      <c r="AO102" s="385"/>
      <c r="AP102" s="383"/>
      <c r="AQ102" s="384"/>
      <c r="AR102" s="385"/>
      <c r="AS102" s="383"/>
      <c r="AT102" s="384"/>
      <c r="AU102" s="385"/>
      <c r="AV102" s="383"/>
      <c r="AW102" s="384"/>
      <c r="AX102" s="385"/>
      <c r="AY102" s="386"/>
      <c r="BA102" s="383"/>
      <c r="BB102" s="384"/>
      <c r="BC102" s="385"/>
      <c r="BD102" s="383"/>
      <c r="BE102" s="384"/>
      <c r="BF102" s="385"/>
      <c r="BG102" s="383"/>
      <c r="BH102" s="384"/>
      <c r="BI102" s="385"/>
      <c r="BJ102" s="383"/>
      <c r="BK102" s="384"/>
      <c r="BL102" s="385"/>
      <c r="BM102" s="386"/>
      <c r="BO102" s="383"/>
      <c r="BP102" s="384"/>
      <c r="BQ102" s="385"/>
      <c r="BR102" s="383"/>
      <c r="BS102" s="384"/>
      <c r="BT102" s="385"/>
      <c r="BU102" s="383"/>
      <c r="BV102" s="384"/>
      <c r="BW102" s="385"/>
      <c r="BX102" s="383"/>
      <c r="BY102" s="384"/>
      <c r="BZ102" s="385"/>
      <c r="CA102" s="386"/>
    </row>
    <row r="103" spans="2:79" s="302" customFormat="1" ht="20.25" thickBot="1" x14ac:dyDescent="0.3">
      <c r="B103" s="871"/>
      <c r="C103" s="850" t="s">
        <v>798</v>
      </c>
      <c r="D103" s="851"/>
      <c r="E103" s="851"/>
      <c r="F103" s="852"/>
      <c r="G103" s="342"/>
      <c r="H103" s="367" t="s">
        <v>792</v>
      </c>
      <c r="I103" s="353">
        <f>SUM(I96:I102)/COUNT(I96:I102)</f>
        <v>0.62266960903634183</v>
      </c>
      <c r="J103" s="444">
        <f>SUM(J96:J98,J99,J100,J101,J102)/COUNT(J96:J98,J99,J100,J101,J102)</f>
        <v>0.17216680719224192</v>
      </c>
      <c r="K103" s="378"/>
      <c r="L103" s="367" t="s">
        <v>792</v>
      </c>
      <c r="M103" s="353">
        <f>SUM(M96:M102)/COUNT(M96:M102)</f>
        <v>0</v>
      </c>
      <c r="N103" s="355">
        <f>SUM(N99:N102,N96:N98)/COUNT(N99:N102,N96:N98)</f>
        <v>0.17216680719224192</v>
      </c>
      <c r="O103" s="378"/>
      <c r="P103" s="367" t="s">
        <v>792</v>
      </c>
      <c r="Q103" s="353">
        <f>SUM(Q96:Q102)/COUNT(Q96:Q102)</f>
        <v>0</v>
      </c>
      <c r="R103" s="355">
        <f>SUM(R99:R102,R96:R98)/COUNT(R99:R102,R96:R98)</f>
        <v>0.17216680719224192</v>
      </c>
      <c r="S103" s="378"/>
      <c r="T103" s="367" t="s">
        <v>792</v>
      </c>
      <c r="U103" s="353">
        <f>SUM(U96:U102)/COUNT(U96:U102)</f>
        <v>0</v>
      </c>
      <c r="V103" s="355">
        <f>SUM(V99:V102,V96:V98)/COUNT(V99:V102,V96:V98)</f>
        <v>0.17216680719224192</v>
      </c>
      <c r="W103" s="381"/>
      <c r="X103" s="382"/>
      <c r="Y103" s="383"/>
      <c r="Z103" s="384"/>
      <c r="AA103" s="385"/>
      <c r="AB103" s="383"/>
      <c r="AC103" s="384"/>
      <c r="AD103" s="385"/>
      <c r="AE103" s="383"/>
      <c r="AF103" s="384"/>
      <c r="AG103" s="385"/>
      <c r="AH103" s="383"/>
      <c r="AI103" s="384"/>
      <c r="AJ103" s="385"/>
      <c r="AK103" s="386"/>
      <c r="AL103" s="385"/>
      <c r="AM103" s="383"/>
      <c r="AN103" s="384"/>
      <c r="AO103" s="385"/>
      <c r="AP103" s="383"/>
      <c r="AQ103" s="384"/>
      <c r="AR103" s="385"/>
      <c r="AS103" s="383"/>
      <c r="AT103" s="384"/>
      <c r="AU103" s="385"/>
      <c r="AV103" s="383"/>
      <c r="AW103" s="384"/>
      <c r="AX103" s="385"/>
      <c r="AY103" s="386"/>
      <c r="BA103" s="383"/>
      <c r="BB103" s="384"/>
      <c r="BC103" s="385"/>
      <c r="BD103" s="383"/>
      <c r="BE103" s="384"/>
      <c r="BF103" s="385"/>
      <c r="BG103" s="383"/>
      <c r="BH103" s="384"/>
      <c r="BI103" s="385"/>
      <c r="BJ103" s="383"/>
      <c r="BK103" s="384"/>
      <c r="BL103" s="385"/>
      <c r="BM103" s="386"/>
      <c r="BO103" s="383"/>
      <c r="BP103" s="384"/>
      <c r="BQ103" s="385"/>
      <c r="BR103" s="383"/>
      <c r="BS103" s="384"/>
      <c r="BT103" s="385"/>
      <c r="BU103" s="383"/>
      <c r="BV103" s="384"/>
      <c r="BW103" s="385"/>
      <c r="BX103" s="383"/>
      <c r="BY103" s="384"/>
      <c r="BZ103" s="385"/>
      <c r="CA103" s="386"/>
    </row>
    <row r="104" spans="2:79" ht="20.25" thickBot="1" x14ac:dyDescent="0.3">
      <c r="B104" s="836" t="s">
        <v>799</v>
      </c>
      <c r="C104" s="837"/>
      <c r="D104" s="837"/>
      <c r="E104" s="837"/>
      <c r="F104" s="838"/>
      <c r="G104" s="387"/>
      <c r="H104" s="391" t="s">
        <v>792</v>
      </c>
      <c r="I104" s="392">
        <f>+(I36+I64+I74+I95+I103)/5</f>
        <v>0.63975426645040856</v>
      </c>
      <c r="J104" s="393">
        <f>+(J64+J36+J74+J95+J103)/5</f>
        <v>0.12783876832817709</v>
      </c>
      <c r="K104" s="390"/>
      <c r="L104" s="391" t="s">
        <v>792</v>
      </c>
      <c r="M104" s="392">
        <f>+(M36+M64+M74+M95+M103)/5</f>
        <v>0</v>
      </c>
      <c r="N104" s="393">
        <f>+(N64+N36+N74+N95+N103)/5</f>
        <v>0.12783876832817709</v>
      </c>
      <c r="O104" s="390"/>
      <c r="P104" s="391" t="s">
        <v>792</v>
      </c>
      <c r="Q104" s="392">
        <f>+(Q36+Q64+Q74+Q95+Q103)/5</f>
        <v>0</v>
      </c>
      <c r="R104" s="393">
        <f>+(R64+R36+R74+R95+R103)/5</f>
        <v>0.1281902992926775</v>
      </c>
      <c r="S104" s="390"/>
      <c r="T104" s="391" t="s">
        <v>792</v>
      </c>
      <c r="U104" s="392">
        <f>+(U36+U64+U74+U95+U103)/5</f>
        <v>0</v>
      </c>
      <c r="V104" s="393">
        <f>+(V64+V36+V74+V95+V103)/5</f>
        <v>0.12783876832817709</v>
      </c>
      <c r="W104" s="371"/>
      <c r="X104" s="372"/>
      <c r="Y104" s="373"/>
      <c r="Z104" s="374"/>
      <c r="AA104" s="375"/>
      <c r="AB104" s="373"/>
      <c r="AC104" s="374"/>
      <c r="AD104" s="375"/>
      <c r="AE104" s="373"/>
      <c r="AF104" s="374"/>
      <c r="AG104" s="375"/>
      <c r="AH104" s="373"/>
      <c r="AI104" s="374"/>
      <c r="AJ104" s="376"/>
      <c r="AK104" s="377"/>
      <c r="AL104" s="376"/>
      <c r="AM104" s="373"/>
      <c r="AN104" s="374"/>
      <c r="AO104" s="375"/>
      <c r="AP104" s="373"/>
      <c r="AQ104" s="374"/>
      <c r="AR104" s="375"/>
      <c r="AS104" s="373"/>
      <c r="AT104" s="374"/>
      <c r="AU104" s="375"/>
      <c r="AV104" s="373"/>
      <c r="AW104" s="374"/>
      <c r="AX104" s="376"/>
      <c r="AY104" s="377"/>
      <c r="BA104" s="373"/>
      <c r="BB104" s="374"/>
      <c r="BC104" s="375"/>
      <c r="BD104" s="373"/>
      <c r="BE104" s="374"/>
      <c r="BF104" s="375"/>
      <c r="BG104" s="373"/>
      <c r="BH104" s="374"/>
      <c r="BI104" s="375"/>
      <c r="BJ104" s="373"/>
      <c r="BK104" s="374"/>
      <c r="BL104" s="376"/>
      <c r="BM104" s="377"/>
      <c r="BO104" s="373"/>
      <c r="BP104" s="374"/>
      <c r="BQ104" s="375"/>
      <c r="BR104" s="373"/>
      <c r="BS104" s="374"/>
      <c r="BT104" s="375"/>
      <c r="BU104" s="373"/>
      <c r="BV104" s="374"/>
      <c r="BW104" s="375"/>
      <c r="BX104" s="373"/>
      <c r="BY104" s="374"/>
      <c r="BZ104" s="376"/>
      <c r="CA104" s="377"/>
    </row>
    <row r="105" spans="2:79" ht="42.75" x14ac:dyDescent="0.25">
      <c r="B105" s="847" t="s">
        <v>807</v>
      </c>
      <c r="C105" s="840" t="s">
        <v>256</v>
      </c>
      <c r="D105" s="369" t="str">
        <f>+'Plan de Accion 2018'!F95</f>
        <v>Informes de seguimiento a la ejecución presupuestal, PAC y Reservas</v>
      </c>
      <c r="E105" s="778" t="str">
        <f>+'Plan de Accion 2018'!B95</f>
        <v>Dirección Administrativa y Financiera</v>
      </c>
      <c r="F105" s="370" t="str">
        <f>+'Plan de Accion 2018'!R95</f>
        <v># Ejecuciones Presupuestales Publicadas</v>
      </c>
      <c r="G105" s="387"/>
      <c r="H105" s="327">
        <f>+'Plan de Accion 2018'!AA95</f>
        <v>3</v>
      </c>
      <c r="I105" s="328">
        <f>+'Plan de Accion 2018'!BL95</f>
        <v>1</v>
      </c>
      <c r="J105" s="330">
        <f>+'Plan de Accion 2018'!AE95</f>
        <v>0.25</v>
      </c>
      <c r="K105" s="344"/>
      <c r="L105" s="327">
        <f>+'Plan de Accion 2018'!AK95</f>
        <v>0</v>
      </c>
      <c r="M105" s="328">
        <f>+'Plan de Accion 2018'!BN95</f>
        <v>0</v>
      </c>
      <c r="N105" s="330">
        <f>+'Plan de Accion 2018'!AO95</f>
        <v>0.25</v>
      </c>
      <c r="O105" s="344"/>
      <c r="P105" s="327">
        <f>+'Plan de Accion 2018'!AU95</f>
        <v>0</v>
      </c>
      <c r="Q105" s="328">
        <f>+'Plan de Accion 2018'!BP95</f>
        <v>0</v>
      </c>
      <c r="R105" s="330">
        <f>+'Plan de Accion 2018'!AY95</f>
        <v>0.25</v>
      </c>
      <c r="S105" s="344"/>
      <c r="T105" s="327">
        <f>+'Plan de Accion 2018'!BE95</f>
        <v>0</v>
      </c>
      <c r="U105" s="328">
        <f>+'Plan de Accion 2018'!BR95</f>
        <v>0</v>
      </c>
      <c r="V105" s="330">
        <f>+'Plan de Accion 2018'!BI95</f>
        <v>0.25</v>
      </c>
      <c r="W105" s="797"/>
      <c r="X105" s="372"/>
      <c r="Y105" s="788"/>
      <c r="Z105" s="785"/>
      <c r="AA105" s="326"/>
      <c r="AB105" s="788"/>
      <c r="AC105" s="785"/>
      <c r="AD105" s="326"/>
      <c r="AE105" s="788"/>
      <c r="AF105" s="785"/>
      <c r="AG105" s="326"/>
      <c r="AH105" s="788"/>
      <c r="AI105" s="785"/>
      <c r="AJ105" s="334"/>
      <c r="AK105" s="794"/>
      <c r="AL105" s="376"/>
      <c r="AM105" s="788"/>
      <c r="AN105" s="785"/>
      <c r="AO105" s="326"/>
      <c r="AP105" s="788"/>
      <c r="AQ105" s="785"/>
      <c r="AR105" s="326"/>
      <c r="AS105" s="788"/>
      <c r="AT105" s="785"/>
      <c r="AU105" s="326"/>
      <c r="AV105" s="788"/>
      <c r="AW105" s="785"/>
      <c r="AX105" s="334"/>
      <c r="AY105" s="794"/>
      <c r="BA105" s="788"/>
      <c r="BB105" s="785"/>
      <c r="BC105" s="326"/>
      <c r="BD105" s="788"/>
      <c r="BE105" s="785"/>
      <c r="BF105" s="326"/>
      <c r="BG105" s="788"/>
      <c r="BH105" s="785"/>
      <c r="BI105" s="326"/>
      <c r="BJ105" s="788"/>
      <c r="BK105" s="785"/>
      <c r="BL105" s="334"/>
      <c r="BM105" s="794"/>
      <c r="BO105" s="788"/>
      <c r="BP105" s="785"/>
      <c r="BQ105" s="326"/>
      <c r="BR105" s="788"/>
      <c r="BS105" s="785"/>
      <c r="BT105" s="326"/>
      <c r="BU105" s="788"/>
      <c r="BV105" s="785"/>
      <c r="BW105" s="326"/>
      <c r="BX105" s="788"/>
      <c r="BY105" s="785"/>
      <c r="BZ105" s="334"/>
      <c r="CA105" s="794"/>
    </row>
    <row r="106" spans="2:79" ht="42.75" x14ac:dyDescent="0.25">
      <c r="B106" s="848"/>
      <c r="C106" s="812"/>
      <c r="D106" s="339" t="str">
        <f>+'Plan de Accion 2018'!F96</f>
        <v>Estados Financieros (Balance General y Estado de Resultados) de la UGG</v>
      </c>
      <c r="E106" s="773"/>
      <c r="F106" s="365" t="str">
        <f>+'Plan de Accion 2018'!R96</f>
        <v># Estados Financieros Presentados</v>
      </c>
      <c r="G106" s="387"/>
      <c r="H106" s="336">
        <f>+'Plan de Accion 2018'!AA96</f>
        <v>1</v>
      </c>
      <c r="I106" s="337">
        <f>+'Plan de Accion 2018'!BL96</f>
        <v>1</v>
      </c>
      <c r="J106" s="330">
        <f>+'Plan de Accion 2018'!AE96</f>
        <v>0.25</v>
      </c>
      <c r="K106" s="344"/>
      <c r="L106" s="336">
        <f>+'Plan de Accion 2018'!AK96</f>
        <v>0</v>
      </c>
      <c r="M106" s="337">
        <f>+'Plan de Accion 2018'!BN96</f>
        <v>0</v>
      </c>
      <c r="N106" s="338">
        <f>+'Plan de Accion 2018'!AO96</f>
        <v>0.25</v>
      </c>
      <c r="O106" s="344"/>
      <c r="P106" s="336">
        <f>+'Plan de Accion 2018'!AU96</f>
        <v>0</v>
      </c>
      <c r="Q106" s="337">
        <f>+'Plan de Accion 2018'!BP96</f>
        <v>0</v>
      </c>
      <c r="R106" s="338">
        <f>+'Plan de Accion 2018'!AY96</f>
        <v>0.25</v>
      </c>
      <c r="S106" s="344"/>
      <c r="T106" s="336">
        <f>+'Plan de Accion 2018'!BE96</f>
        <v>0</v>
      </c>
      <c r="U106" s="337">
        <f>+'Plan de Accion 2018'!BR96</f>
        <v>0</v>
      </c>
      <c r="V106" s="338">
        <f>+'Plan de Accion 2018'!BI96</f>
        <v>0.25</v>
      </c>
      <c r="W106" s="798"/>
      <c r="X106" s="372"/>
      <c r="Y106" s="789"/>
      <c r="Z106" s="786"/>
      <c r="AA106" s="326"/>
      <c r="AB106" s="789"/>
      <c r="AC106" s="786"/>
      <c r="AD106" s="326"/>
      <c r="AE106" s="789"/>
      <c r="AF106" s="786"/>
      <c r="AG106" s="326"/>
      <c r="AH106" s="789"/>
      <c r="AI106" s="786"/>
      <c r="AJ106" s="334"/>
      <c r="AK106" s="795"/>
      <c r="AL106" s="376"/>
      <c r="AM106" s="789"/>
      <c r="AN106" s="786"/>
      <c r="AO106" s="326"/>
      <c r="AP106" s="789"/>
      <c r="AQ106" s="786"/>
      <c r="AR106" s="326"/>
      <c r="AS106" s="789"/>
      <c r="AT106" s="786"/>
      <c r="AU106" s="326"/>
      <c r="AV106" s="789"/>
      <c r="AW106" s="786"/>
      <c r="AX106" s="334"/>
      <c r="AY106" s="795"/>
      <c r="BA106" s="789"/>
      <c r="BB106" s="786"/>
      <c r="BC106" s="326"/>
      <c r="BD106" s="789"/>
      <c r="BE106" s="786"/>
      <c r="BF106" s="326"/>
      <c r="BG106" s="789"/>
      <c r="BH106" s="786"/>
      <c r="BI106" s="326"/>
      <c r="BJ106" s="789"/>
      <c r="BK106" s="786"/>
      <c r="BL106" s="334"/>
      <c r="BM106" s="795"/>
      <c r="BO106" s="789"/>
      <c r="BP106" s="786"/>
      <c r="BQ106" s="326"/>
      <c r="BR106" s="789"/>
      <c r="BS106" s="786"/>
      <c r="BT106" s="326"/>
      <c r="BU106" s="789"/>
      <c r="BV106" s="786"/>
      <c r="BW106" s="326"/>
      <c r="BX106" s="789"/>
      <c r="BY106" s="786"/>
      <c r="BZ106" s="334"/>
      <c r="CA106" s="795"/>
    </row>
    <row r="107" spans="2:79" ht="20.25" thickBot="1" x14ac:dyDescent="0.3">
      <c r="B107" s="848"/>
      <c r="C107" s="812"/>
      <c r="D107" s="339" t="str">
        <f>+'Plan de Accion 2018'!F97</f>
        <v>Operaciones Reciprocas</v>
      </c>
      <c r="E107" s="773"/>
      <c r="F107" s="365" t="str">
        <f>+'Plan de Accion 2018'!R97</f>
        <v xml:space="preserve"># Informes Publicados </v>
      </c>
      <c r="G107" s="387"/>
      <c r="H107" s="336">
        <f>+'Plan de Accion 2018'!AA97</f>
        <v>1</v>
      </c>
      <c r="I107" s="337">
        <f>+'Plan de Accion 2018'!BL97</f>
        <v>1</v>
      </c>
      <c r="J107" s="330">
        <f>+'Plan de Accion 2018'!AE97</f>
        <v>0.25</v>
      </c>
      <c r="K107" s="344"/>
      <c r="L107" s="336">
        <f>+'Plan de Accion 2018'!AK97</f>
        <v>0</v>
      </c>
      <c r="M107" s="337">
        <f>+'Plan de Accion 2018'!BN97</f>
        <v>0</v>
      </c>
      <c r="N107" s="338">
        <f>+'Plan de Accion 2018'!AO97</f>
        <v>0.25</v>
      </c>
      <c r="O107" s="344"/>
      <c r="P107" s="336">
        <f>+'Plan de Accion 2018'!AU97</f>
        <v>0</v>
      </c>
      <c r="Q107" s="337">
        <f>+'Plan de Accion 2018'!BP97</f>
        <v>0</v>
      </c>
      <c r="R107" s="338">
        <f>+'Plan de Accion 2018'!AY97</f>
        <v>0.25</v>
      </c>
      <c r="S107" s="344"/>
      <c r="T107" s="336">
        <f>+'Plan de Accion 2018'!BE97</f>
        <v>0</v>
      </c>
      <c r="U107" s="337">
        <f>+'Plan de Accion 2018'!BR97</f>
        <v>0</v>
      </c>
      <c r="V107" s="338">
        <f>+'Plan de Accion 2018'!BI97</f>
        <v>0.25</v>
      </c>
      <c r="W107" s="799"/>
      <c r="X107" s="372"/>
      <c r="Y107" s="790"/>
      <c r="Z107" s="787"/>
      <c r="AA107" s="326"/>
      <c r="AB107" s="790"/>
      <c r="AC107" s="787"/>
      <c r="AD107" s="326"/>
      <c r="AE107" s="790"/>
      <c r="AF107" s="787"/>
      <c r="AG107" s="326"/>
      <c r="AH107" s="790"/>
      <c r="AI107" s="787"/>
      <c r="AJ107" s="334"/>
      <c r="AK107" s="796"/>
      <c r="AL107" s="376"/>
      <c r="AM107" s="790"/>
      <c r="AN107" s="787"/>
      <c r="AO107" s="326"/>
      <c r="AP107" s="790"/>
      <c r="AQ107" s="787"/>
      <c r="AR107" s="326"/>
      <c r="AS107" s="790"/>
      <c r="AT107" s="787"/>
      <c r="AU107" s="326"/>
      <c r="AV107" s="790"/>
      <c r="AW107" s="787"/>
      <c r="AX107" s="334"/>
      <c r="AY107" s="796"/>
      <c r="BA107" s="790"/>
      <c r="BB107" s="787"/>
      <c r="BC107" s="326"/>
      <c r="BD107" s="790"/>
      <c r="BE107" s="787"/>
      <c r="BF107" s="326"/>
      <c r="BG107" s="790"/>
      <c r="BH107" s="787"/>
      <c r="BI107" s="326"/>
      <c r="BJ107" s="790"/>
      <c r="BK107" s="787"/>
      <c r="BL107" s="334"/>
      <c r="BM107" s="796"/>
      <c r="BO107" s="790"/>
      <c r="BP107" s="787"/>
      <c r="BQ107" s="326"/>
      <c r="BR107" s="790"/>
      <c r="BS107" s="787"/>
      <c r="BT107" s="326"/>
      <c r="BU107" s="790"/>
      <c r="BV107" s="787"/>
      <c r="BW107" s="326"/>
      <c r="BX107" s="790"/>
      <c r="BY107" s="787"/>
      <c r="BZ107" s="334"/>
      <c r="CA107" s="796"/>
    </row>
    <row r="108" spans="2:79" ht="71.25" x14ac:dyDescent="0.25">
      <c r="B108" s="848"/>
      <c r="C108" s="812"/>
      <c r="D108" s="339" t="str">
        <f>+'Plan de Accion 2018'!F98</f>
        <v>Cuentas de cobro generadas con los debidos soportes documentales</v>
      </c>
      <c r="E108" s="773"/>
      <c r="F108" s="365" t="str">
        <f>+'Plan de Accion 2018'!R98</f>
        <v># Cuentas de Cobro con Soportes Documentales radicadas en el mes / # Pagos de las Cuentas de Cobro radicadas en el mes</v>
      </c>
      <c r="G108" s="387"/>
      <c r="H108" s="336">
        <f>+'Plan de Accion 2018'!AA98</f>
        <v>0.24829351535836178</v>
      </c>
      <c r="I108" s="337">
        <f>+'Plan de Accion 2018'!BL98</f>
        <v>0.99317406143344711</v>
      </c>
      <c r="J108" s="330">
        <f>+'Plan de Accion 2018'!AE98</f>
        <v>0.24829351535836178</v>
      </c>
      <c r="K108" s="344"/>
      <c r="L108" s="336">
        <f>+'Plan de Accion 2018'!AK98</f>
        <v>0</v>
      </c>
      <c r="M108" s="337">
        <f>+'Plan de Accion 2018'!BN98</f>
        <v>0</v>
      </c>
      <c r="N108" s="338">
        <f>+'Plan de Accion 2018'!AO98</f>
        <v>0.24829351535836178</v>
      </c>
      <c r="O108" s="344"/>
      <c r="P108" s="336">
        <f>+'Plan de Accion 2018'!AU98</f>
        <v>0</v>
      </c>
      <c r="Q108" s="337">
        <f>+'Plan de Accion 2018'!BP98</f>
        <v>0</v>
      </c>
      <c r="R108" s="338">
        <f>+'Plan de Accion 2018'!AY98</f>
        <v>0.24829351535836178</v>
      </c>
      <c r="S108" s="344"/>
      <c r="T108" s="336">
        <f>+'Plan de Accion 2018'!BE98</f>
        <v>0</v>
      </c>
      <c r="U108" s="337">
        <f>+'Plan de Accion 2018'!BR98</f>
        <v>0</v>
      </c>
      <c r="V108" s="338">
        <f>+'Plan de Accion 2018'!BI98</f>
        <v>0.24829351535836178</v>
      </c>
      <c r="W108" s="797"/>
      <c r="X108" s="372"/>
      <c r="Y108" s="800" t="e">
        <f>+#REF!</f>
        <v>#REF!</v>
      </c>
      <c r="Z108" s="785" t="e">
        <f>+Y108/#REF!</f>
        <v>#REF!</v>
      </c>
      <c r="AA108" s="326"/>
      <c r="AB108" s="800" t="e">
        <f>+#REF!</f>
        <v>#REF!</v>
      </c>
      <c r="AC108" s="785" t="e">
        <f>+AB108/#REF!</f>
        <v>#REF!</v>
      </c>
      <c r="AD108" s="326"/>
      <c r="AE108" s="800" t="e">
        <f>+#REF!</f>
        <v>#REF!</v>
      </c>
      <c r="AF108" s="785" t="e">
        <f>+AE108/#REF!</f>
        <v>#REF!</v>
      </c>
      <c r="AG108" s="326"/>
      <c r="AH108" s="800" t="e">
        <f>+#REF!</f>
        <v>#REF!</v>
      </c>
      <c r="AI108" s="785" t="e">
        <f>+AH108/#REF!</f>
        <v>#REF!</v>
      </c>
      <c r="AJ108" s="334"/>
      <c r="AK108" s="794"/>
      <c r="AL108" s="376"/>
      <c r="AM108" s="800" t="e">
        <f>+#REF!</f>
        <v>#REF!</v>
      </c>
      <c r="AN108" s="785" t="e">
        <f>+AM108/#REF!</f>
        <v>#REF!</v>
      </c>
      <c r="AO108" s="326"/>
      <c r="AP108" s="800" t="e">
        <f>+#REF!</f>
        <v>#REF!</v>
      </c>
      <c r="AQ108" s="785" t="e">
        <f>+AP108/#REF!</f>
        <v>#REF!</v>
      </c>
      <c r="AR108" s="326"/>
      <c r="AS108" s="800" t="e">
        <f>+#REF!</f>
        <v>#REF!</v>
      </c>
      <c r="AT108" s="785" t="e">
        <f>+AS108/#REF!</f>
        <v>#REF!</v>
      </c>
      <c r="AU108" s="326"/>
      <c r="AV108" s="800" t="e">
        <f>+#REF!</f>
        <v>#REF!</v>
      </c>
      <c r="AW108" s="785" t="e">
        <f>+AV108/#REF!</f>
        <v>#REF!</v>
      </c>
      <c r="AX108" s="334"/>
      <c r="AY108" s="794"/>
      <c r="BA108" s="800" t="e">
        <f>+#REF!</f>
        <v>#REF!</v>
      </c>
      <c r="BB108" s="785" t="e">
        <f>+BA108/#REF!</f>
        <v>#REF!</v>
      </c>
      <c r="BC108" s="326"/>
      <c r="BD108" s="800" t="e">
        <f>+#REF!</f>
        <v>#REF!</v>
      </c>
      <c r="BE108" s="785" t="e">
        <f>+BD108/#REF!</f>
        <v>#REF!</v>
      </c>
      <c r="BF108" s="326"/>
      <c r="BG108" s="800" t="e">
        <f>+#REF!</f>
        <v>#REF!</v>
      </c>
      <c r="BH108" s="785" t="e">
        <f>+BG108/#REF!</f>
        <v>#REF!</v>
      </c>
      <c r="BI108" s="326"/>
      <c r="BJ108" s="800" t="e">
        <f>+#REF!</f>
        <v>#REF!</v>
      </c>
      <c r="BK108" s="785" t="e">
        <f>+BJ108/#REF!</f>
        <v>#REF!</v>
      </c>
      <c r="BL108" s="334"/>
      <c r="BM108" s="794"/>
      <c r="BO108" s="800" t="e">
        <f>+#REF!</f>
        <v>#REF!</v>
      </c>
      <c r="BP108" s="785" t="e">
        <f>+BO108/#REF!</f>
        <v>#REF!</v>
      </c>
      <c r="BQ108" s="326"/>
      <c r="BR108" s="800" t="e">
        <f>+#REF!</f>
        <v>#REF!</v>
      </c>
      <c r="BS108" s="785" t="e">
        <f>+BR108/#REF!</f>
        <v>#REF!</v>
      </c>
      <c r="BT108" s="326"/>
      <c r="BU108" s="800" t="e">
        <f>+#REF!</f>
        <v>#REF!</v>
      </c>
      <c r="BV108" s="785" t="e">
        <f>+BU108/#REF!</f>
        <v>#REF!</v>
      </c>
      <c r="BW108" s="326"/>
      <c r="BX108" s="800" t="e">
        <f>+#REF!</f>
        <v>#REF!</v>
      </c>
      <c r="BY108" s="785" t="e">
        <f>+BX108/#REF!</f>
        <v>#REF!</v>
      </c>
      <c r="BZ108" s="334"/>
      <c r="CA108" s="794"/>
    </row>
    <row r="109" spans="2:79" ht="28.5" x14ac:dyDescent="0.25">
      <c r="B109" s="848"/>
      <c r="C109" s="812"/>
      <c r="D109" s="339" t="str">
        <f>+'Plan de Accion 2018'!F106</f>
        <v>Archivo de Gestión Consolidado</v>
      </c>
      <c r="E109" s="773"/>
      <c r="F109" s="394" t="str">
        <f>+'Plan de Accion 2018'!R106</f>
        <v># Certificaciones realizadas  / # certificaciones solicitadas</v>
      </c>
      <c r="G109" s="387"/>
      <c r="H109" s="336">
        <f>+'Plan de Accion 2018'!AA106</f>
        <v>0.22500000000000001</v>
      </c>
      <c r="I109" s="337">
        <f>+'Plan de Accion 2018'!BL106</f>
        <v>0.9</v>
      </c>
      <c r="J109" s="330">
        <f>+'Plan de Accion 2018'!AE106</f>
        <v>0.22500000000000001</v>
      </c>
      <c r="K109" s="344"/>
      <c r="L109" s="336">
        <f>+'Plan de Accion 2018'!AK106</f>
        <v>0</v>
      </c>
      <c r="M109" s="337">
        <f>+'Plan de Accion 2018'!BN106</f>
        <v>0</v>
      </c>
      <c r="N109" s="338">
        <f>+'Plan de Accion 2018'!AO106</f>
        <v>0.22500000000000001</v>
      </c>
      <c r="O109" s="344"/>
      <c r="P109" s="336">
        <f>+'Plan de Accion 2018'!AU106</f>
        <v>0</v>
      </c>
      <c r="Q109" s="337">
        <f>+'Plan de Accion 2018'!BP106</f>
        <v>0</v>
      </c>
      <c r="R109" s="338">
        <f>+'Plan de Accion 2018'!AY106</f>
        <v>0.22500000000000001</v>
      </c>
      <c r="S109" s="344"/>
      <c r="T109" s="336">
        <f>+'Plan de Accion 2018'!BE106</f>
        <v>0</v>
      </c>
      <c r="U109" s="337">
        <f>+'Plan de Accion 2018'!BR106</f>
        <v>0</v>
      </c>
      <c r="V109" s="338">
        <f>+'Plan de Accion 2018'!BI106</f>
        <v>0.22500000000000001</v>
      </c>
      <c r="W109" s="798"/>
      <c r="X109" s="372"/>
      <c r="Y109" s="801"/>
      <c r="Z109" s="786"/>
      <c r="AA109" s="326"/>
      <c r="AB109" s="801"/>
      <c r="AC109" s="786"/>
      <c r="AD109" s="326"/>
      <c r="AE109" s="801"/>
      <c r="AF109" s="786"/>
      <c r="AG109" s="326"/>
      <c r="AH109" s="801"/>
      <c r="AI109" s="786"/>
      <c r="AJ109" s="334"/>
      <c r="AK109" s="795"/>
      <c r="AL109" s="376"/>
      <c r="AM109" s="801"/>
      <c r="AN109" s="786"/>
      <c r="AO109" s="326"/>
      <c r="AP109" s="801"/>
      <c r="AQ109" s="786"/>
      <c r="AR109" s="326"/>
      <c r="AS109" s="801"/>
      <c r="AT109" s="786"/>
      <c r="AU109" s="326"/>
      <c r="AV109" s="801"/>
      <c r="AW109" s="786"/>
      <c r="AX109" s="334"/>
      <c r="AY109" s="795"/>
      <c r="BA109" s="801"/>
      <c r="BB109" s="786"/>
      <c r="BC109" s="326"/>
      <c r="BD109" s="801"/>
      <c r="BE109" s="786"/>
      <c r="BF109" s="326"/>
      <c r="BG109" s="801"/>
      <c r="BH109" s="786"/>
      <c r="BI109" s="326"/>
      <c r="BJ109" s="801"/>
      <c r="BK109" s="786"/>
      <c r="BL109" s="334"/>
      <c r="BM109" s="795"/>
      <c r="BO109" s="801"/>
      <c r="BP109" s="786"/>
      <c r="BQ109" s="326"/>
      <c r="BR109" s="801"/>
      <c r="BS109" s="786"/>
      <c r="BT109" s="326"/>
      <c r="BU109" s="801"/>
      <c r="BV109" s="786"/>
      <c r="BW109" s="326"/>
      <c r="BX109" s="801"/>
      <c r="BY109" s="786"/>
      <c r="BZ109" s="334"/>
      <c r="CA109" s="795"/>
    </row>
    <row r="110" spans="2:79" ht="57" x14ac:dyDescent="0.25">
      <c r="B110" s="848"/>
      <c r="C110" s="812"/>
      <c r="D110" s="339" t="str">
        <f>+'Plan de Accion 2018'!F107</f>
        <v xml:space="preserve">Publicación Diario Oficial y diario de Amplia Circulación </v>
      </c>
      <c r="E110" s="773"/>
      <c r="F110" s="365" t="str">
        <f>+'Plan de Accion 2018'!R107</f>
        <v># Actos Administrativos Publicados / # Actos Administrativos Recibidos para  Publicar</v>
      </c>
      <c r="G110" s="387"/>
      <c r="H110" s="336">
        <f>+'Plan de Accion 2018'!AA107</f>
        <v>1</v>
      </c>
      <c r="I110" s="337" t="str">
        <f>+'Plan de Accion 2018'!BL107</f>
        <v>No Prog, Ejec=  1</v>
      </c>
      <c r="J110" s="330">
        <f>+'Plan de Accion 2018'!AE107</f>
        <v>1</v>
      </c>
      <c r="K110" s="344"/>
      <c r="L110" s="336">
        <f>+'Plan de Accion 2018'!AK107</f>
        <v>0</v>
      </c>
      <c r="M110" s="337">
        <f>+'Plan de Accion 2018'!BN107</f>
        <v>0</v>
      </c>
      <c r="N110" s="338">
        <f>+'Plan de Accion 2018'!AO107</f>
        <v>1</v>
      </c>
      <c r="O110" s="344"/>
      <c r="P110" s="336">
        <f>+'Plan de Accion 2018'!AU107</f>
        <v>0</v>
      </c>
      <c r="Q110" s="337" t="str">
        <f>+'Plan de Accion 2018'!BP107</f>
        <v>No Prog ni Ejec</v>
      </c>
      <c r="R110" s="338">
        <f>+'Plan de Accion 2018'!AY107</f>
        <v>1</v>
      </c>
      <c r="S110" s="344"/>
      <c r="T110" s="336">
        <f>+'Plan de Accion 2018'!BE107</f>
        <v>0</v>
      </c>
      <c r="U110" s="337">
        <f>+'Plan de Accion 2018'!BR107</f>
        <v>0</v>
      </c>
      <c r="V110" s="338">
        <f>+'Plan de Accion 2018'!BI107</f>
        <v>1</v>
      </c>
      <c r="W110" s="798"/>
      <c r="X110" s="372"/>
      <c r="Y110" s="801"/>
      <c r="Z110" s="786"/>
      <c r="AA110" s="326"/>
      <c r="AB110" s="801"/>
      <c r="AC110" s="786"/>
      <c r="AD110" s="326"/>
      <c r="AE110" s="801"/>
      <c r="AF110" s="786"/>
      <c r="AG110" s="326"/>
      <c r="AH110" s="801"/>
      <c r="AI110" s="786"/>
      <c r="AJ110" s="334"/>
      <c r="AK110" s="795"/>
      <c r="AL110" s="376"/>
      <c r="AM110" s="801"/>
      <c r="AN110" s="786"/>
      <c r="AO110" s="326"/>
      <c r="AP110" s="801"/>
      <c r="AQ110" s="786"/>
      <c r="AR110" s="326"/>
      <c r="AS110" s="801"/>
      <c r="AT110" s="786"/>
      <c r="AU110" s="326"/>
      <c r="AV110" s="801"/>
      <c r="AW110" s="786"/>
      <c r="AX110" s="334"/>
      <c r="AY110" s="795"/>
      <c r="BA110" s="801"/>
      <c r="BB110" s="786"/>
      <c r="BC110" s="326"/>
      <c r="BD110" s="801"/>
      <c r="BE110" s="786"/>
      <c r="BF110" s="326"/>
      <c r="BG110" s="801"/>
      <c r="BH110" s="786"/>
      <c r="BI110" s="326"/>
      <c r="BJ110" s="801"/>
      <c r="BK110" s="786"/>
      <c r="BL110" s="334"/>
      <c r="BM110" s="795"/>
      <c r="BO110" s="801"/>
      <c r="BP110" s="786"/>
      <c r="BQ110" s="326"/>
      <c r="BR110" s="801"/>
      <c r="BS110" s="786"/>
      <c r="BT110" s="326"/>
      <c r="BU110" s="801"/>
      <c r="BV110" s="786"/>
      <c r="BW110" s="326"/>
      <c r="BX110" s="801"/>
      <c r="BY110" s="786"/>
      <c r="BZ110" s="334"/>
      <c r="CA110" s="795"/>
    </row>
    <row r="111" spans="2:79" ht="100.5" thickBot="1" x14ac:dyDescent="0.3">
      <c r="B111" s="848"/>
      <c r="C111" s="812"/>
      <c r="D111" s="339" t="str">
        <f>+'Plan de Accion 2018'!F111</f>
        <v>Fortalecimiento de canales de atención al ciudadano con el fin de brindar la atención, respuesta inmediata, seguimiento a solicitudes de los ciudadanos, empresas y servidores públicos. Call Center .</v>
      </c>
      <c r="E111" s="773"/>
      <c r="F111" s="365" t="str">
        <f>+'Plan de Accion 2018'!R111</f>
        <v># llamadas atendidas / # llamadas entrantes</v>
      </c>
      <c r="G111" s="387"/>
      <c r="H111" s="336">
        <f>+'Plan de Accion 2018'!AA111</f>
        <v>0.19947289680606778</v>
      </c>
      <c r="I111" s="337">
        <f>+'Plan de Accion 2018'!BL111</f>
        <v>0.83988588128870645</v>
      </c>
      <c r="J111" s="330">
        <f>+'Plan de Accion 2018'!AE111</f>
        <v>0.20997147032217661</v>
      </c>
      <c r="K111" s="344"/>
      <c r="L111" s="336">
        <f>+'Plan de Accion 2018'!AK111</f>
        <v>0</v>
      </c>
      <c r="M111" s="337">
        <f>+'Plan de Accion 2018'!BN111</f>
        <v>0</v>
      </c>
      <c r="N111" s="338">
        <f>+'Plan de Accion 2018'!AO111</f>
        <v>0.20997147032217661</v>
      </c>
      <c r="O111" s="344"/>
      <c r="P111" s="336">
        <f>+'Plan de Accion 2018'!AU111</f>
        <v>0</v>
      </c>
      <c r="Q111" s="337">
        <f>+'Plan de Accion 2018'!BP111</f>
        <v>0</v>
      </c>
      <c r="R111" s="338">
        <f>+'Plan de Accion 2018'!AY111</f>
        <v>0.20997147032217661</v>
      </c>
      <c r="S111" s="344"/>
      <c r="T111" s="336">
        <f>+'Plan de Accion 2018'!BE111</f>
        <v>0</v>
      </c>
      <c r="U111" s="337">
        <f>+'Plan de Accion 2018'!BR111</f>
        <v>0</v>
      </c>
      <c r="V111" s="338">
        <f>+'Plan de Accion 2018'!BI111</f>
        <v>0.20997147032217661</v>
      </c>
      <c r="W111" s="799"/>
      <c r="X111" s="372"/>
      <c r="Y111" s="802"/>
      <c r="Z111" s="787"/>
      <c r="AA111" s="326"/>
      <c r="AB111" s="802"/>
      <c r="AC111" s="787"/>
      <c r="AD111" s="326"/>
      <c r="AE111" s="802"/>
      <c r="AF111" s="787"/>
      <c r="AG111" s="326"/>
      <c r="AH111" s="802"/>
      <c r="AI111" s="787"/>
      <c r="AJ111" s="334"/>
      <c r="AK111" s="796"/>
      <c r="AL111" s="376"/>
      <c r="AM111" s="802"/>
      <c r="AN111" s="787"/>
      <c r="AO111" s="326"/>
      <c r="AP111" s="802"/>
      <c r="AQ111" s="787"/>
      <c r="AR111" s="326"/>
      <c r="AS111" s="802"/>
      <c r="AT111" s="787"/>
      <c r="AU111" s="326"/>
      <c r="AV111" s="802"/>
      <c r="AW111" s="787"/>
      <c r="AX111" s="334"/>
      <c r="AY111" s="796"/>
      <c r="BA111" s="802"/>
      <c r="BB111" s="787"/>
      <c r="BC111" s="326"/>
      <c r="BD111" s="802"/>
      <c r="BE111" s="787"/>
      <c r="BF111" s="326"/>
      <c r="BG111" s="802"/>
      <c r="BH111" s="787"/>
      <c r="BI111" s="326"/>
      <c r="BJ111" s="802"/>
      <c r="BK111" s="787"/>
      <c r="BL111" s="334"/>
      <c r="BM111" s="796"/>
      <c r="BO111" s="802"/>
      <c r="BP111" s="787"/>
      <c r="BQ111" s="326"/>
      <c r="BR111" s="802"/>
      <c r="BS111" s="787"/>
      <c r="BT111" s="326"/>
      <c r="BU111" s="802"/>
      <c r="BV111" s="787"/>
      <c r="BW111" s="326"/>
      <c r="BX111" s="802"/>
      <c r="BY111" s="787"/>
      <c r="BZ111" s="334"/>
      <c r="CA111" s="796"/>
    </row>
    <row r="112" spans="2:79" ht="51.75" customHeight="1" x14ac:dyDescent="0.25">
      <c r="B112" s="848"/>
      <c r="C112" s="812"/>
      <c r="D112" s="858" t="str">
        <f>+'Plan de Accion 2018'!F9</f>
        <v>Estrategia de Comunicación y  Marketing de la Adres</v>
      </c>
      <c r="E112" s="858" t="s">
        <v>3</v>
      </c>
      <c r="F112" s="365" t="str">
        <f>+'Plan de Accion 2018'!R9</f>
        <v>#Noticias Positivas en el periodo/#Noticias Negativas en el mismo periodo.</v>
      </c>
      <c r="G112" s="387"/>
      <c r="H112" s="395">
        <f>+'Plan de Accion 2018'!AA9</f>
        <v>19.333333333333332</v>
      </c>
      <c r="I112" s="337">
        <f>+'Plan de Accion 2018'!BL9</f>
        <v>2.7619047619047619</v>
      </c>
      <c r="J112" s="330">
        <f>+'Plan de Accion 2018'!AE9</f>
        <v>0.69047619047619047</v>
      </c>
      <c r="K112" s="344"/>
      <c r="L112" s="336">
        <f>+'Plan de Accion 2018'!AK9</f>
        <v>0</v>
      </c>
      <c r="M112" s="337">
        <f>+'Plan de Accion 2018'!BN9</f>
        <v>0</v>
      </c>
      <c r="N112" s="338">
        <f>+'Plan de Accion 2018'!AO9</f>
        <v>0.69047619047619047</v>
      </c>
      <c r="O112" s="344"/>
      <c r="P112" s="336">
        <f>+'Plan de Accion 2018'!AU9</f>
        <v>0</v>
      </c>
      <c r="Q112" s="337">
        <f>+'Plan de Accion 2018'!BP9</f>
        <v>0</v>
      </c>
      <c r="R112" s="338">
        <f>+'Plan de Accion 2018'!AY9</f>
        <v>0.69047619047619047</v>
      </c>
      <c r="S112" s="344"/>
      <c r="T112" s="336">
        <f>+'Plan de Accion 2018'!BE9</f>
        <v>0</v>
      </c>
      <c r="U112" s="337">
        <f>+'Plan de Accion 2018'!BR9</f>
        <v>0</v>
      </c>
      <c r="V112" s="338">
        <f>+'Plan de Accion 2018'!BI9</f>
        <v>0.69047619047619047</v>
      </c>
      <c r="W112" s="396"/>
      <c r="X112" s="372"/>
      <c r="Y112" s="397"/>
      <c r="Z112" s="362"/>
      <c r="AA112" s="326"/>
      <c r="AB112" s="398"/>
      <c r="AC112" s="362"/>
      <c r="AD112" s="326"/>
      <c r="AE112" s="397"/>
      <c r="AF112" s="362"/>
      <c r="AG112" s="326"/>
      <c r="AH112" s="397"/>
      <c r="AI112" s="362"/>
      <c r="AJ112" s="334"/>
      <c r="AK112" s="399"/>
      <c r="AL112" s="376"/>
      <c r="AM112" s="397"/>
      <c r="AN112" s="362"/>
      <c r="AO112" s="326"/>
      <c r="AP112" s="398"/>
      <c r="AQ112" s="362"/>
      <c r="AR112" s="326"/>
      <c r="AS112" s="397"/>
      <c r="AT112" s="362"/>
      <c r="AU112" s="326"/>
      <c r="AV112" s="397"/>
      <c r="AW112" s="362"/>
      <c r="AX112" s="334"/>
      <c r="AY112" s="399"/>
      <c r="BA112" s="397"/>
      <c r="BB112" s="362"/>
      <c r="BC112" s="326"/>
      <c r="BD112" s="398"/>
      <c r="BE112" s="362"/>
      <c r="BF112" s="326"/>
      <c r="BG112" s="397"/>
      <c r="BH112" s="362"/>
      <c r="BI112" s="326"/>
      <c r="BJ112" s="397"/>
      <c r="BK112" s="362"/>
      <c r="BL112" s="334"/>
      <c r="BM112" s="399"/>
      <c r="BO112" s="397"/>
      <c r="BP112" s="362"/>
      <c r="BQ112" s="326"/>
      <c r="BR112" s="398"/>
      <c r="BS112" s="362"/>
      <c r="BT112" s="326"/>
      <c r="BU112" s="397"/>
      <c r="BV112" s="362"/>
      <c r="BW112" s="326"/>
      <c r="BX112" s="397"/>
      <c r="BY112" s="362"/>
      <c r="BZ112" s="334"/>
      <c r="CA112" s="399"/>
    </row>
    <row r="113" spans="2:79" ht="75" customHeight="1" thickBot="1" x14ac:dyDescent="0.3">
      <c r="B113" s="848"/>
      <c r="C113" s="812"/>
      <c r="D113" s="783"/>
      <c r="E113" s="783"/>
      <c r="F113" s="365" t="str">
        <f>+'Plan de Accion 2018'!R10</f>
        <v>((# de seguidores en Twitter periodo actual - # de seguidores en Twitter periodo anterior)/ # de seguidores en Twitter periodo anterior)</v>
      </c>
      <c r="G113" s="387"/>
      <c r="H113" s="400">
        <f>+'Plan de Accion 2018'!AA10</f>
        <v>0.66216216216216217</v>
      </c>
      <c r="I113" s="337">
        <f>+'Plan de Accion 2018'!BL10</f>
        <v>2.2072072072072073</v>
      </c>
      <c r="J113" s="330">
        <f>+'Plan de Accion 2018'!AE10</f>
        <v>0.66216216216216217</v>
      </c>
      <c r="K113" s="344"/>
      <c r="L113" s="336">
        <f>+'Plan de Accion 2018'!AK10</f>
        <v>0</v>
      </c>
      <c r="M113" s="337">
        <f>+'Plan de Accion 2018'!BN10</f>
        <v>0</v>
      </c>
      <c r="N113" s="338">
        <f>+'Plan de Accion 2018'!AO10</f>
        <v>0.66216216216216217</v>
      </c>
      <c r="O113" s="344"/>
      <c r="P113" s="336">
        <f>+'Plan de Accion 2018'!AU10</f>
        <v>0</v>
      </c>
      <c r="Q113" s="337">
        <f>+'Plan de Accion 2018'!BP10</f>
        <v>0</v>
      </c>
      <c r="R113" s="338">
        <f>+'Plan de Accion 2018'!AY10</f>
        <v>0.66216216216216217</v>
      </c>
      <c r="S113" s="344"/>
      <c r="T113" s="336">
        <f>+'Plan de Accion 2018'!BE10</f>
        <v>0</v>
      </c>
      <c r="U113" s="337">
        <f>+'Plan de Accion 2018'!BR10</f>
        <v>0</v>
      </c>
      <c r="V113" s="338">
        <f>+'Plan de Accion 2018'!BI10</f>
        <v>0.66216216216216217</v>
      </c>
      <c r="W113" s="396"/>
      <c r="X113" s="372"/>
      <c r="Y113" s="397"/>
      <c r="Z113" s="362"/>
      <c r="AA113" s="326"/>
      <c r="AB113" s="398"/>
      <c r="AC113" s="362"/>
      <c r="AD113" s="326"/>
      <c r="AE113" s="397"/>
      <c r="AF113" s="362"/>
      <c r="AG113" s="326"/>
      <c r="AH113" s="397"/>
      <c r="AI113" s="362"/>
      <c r="AJ113" s="334"/>
      <c r="AK113" s="399"/>
      <c r="AL113" s="376"/>
      <c r="AM113" s="397"/>
      <c r="AN113" s="362"/>
      <c r="AO113" s="326"/>
      <c r="AP113" s="398"/>
      <c r="AQ113" s="362"/>
      <c r="AR113" s="326"/>
      <c r="AS113" s="397"/>
      <c r="AT113" s="362"/>
      <c r="AU113" s="326"/>
      <c r="AV113" s="397"/>
      <c r="AW113" s="362"/>
      <c r="AX113" s="334"/>
      <c r="AY113" s="399"/>
      <c r="BA113" s="397"/>
      <c r="BB113" s="362"/>
      <c r="BC113" s="326"/>
      <c r="BD113" s="398"/>
      <c r="BE113" s="362"/>
      <c r="BF113" s="326"/>
      <c r="BG113" s="397"/>
      <c r="BH113" s="362"/>
      <c r="BI113" s="326"/>
      <c r="BJ113" s="397"/>
      <c r="BK113" s="362"/>
      <c r="BL113" s="334"/>
      <c r="BM113" s="399"/>
      <c r="BO113" s="397"/>
      <c r="BP113" s="362"/>
      <c r="BQ113" s="326"/>
      <c r="BR113" s="398"/>
      <c r="BS113" s="362"/>
      <c r="BT113" s="326"/>
      <c r="BU113" s="397"/>
      <c r="BV113" s="362"/>
      <c r="BW113" s="326"/>
      <c r="BX113" s="397"/>
      <c r="BY113" s="362"/>
      <c r="BZ113" s="334"/>
      <c r="CA113" s="399"/>
    </row>
    <row r="114" spans="2:79" ht="99.75" x14ac:dyDescent="0.25">
      <c r="B114" s="848"/>
      <c r="C114" s="812"/>
      <c r="D114" s="341" t="str">
        <f>+'Plan de Accion 2018'!F119</f>
        <v>Entrega de informes a organismos externos en el marco de la normatividad vigente</v>
      </c>
      <c r="E114" s="341" t="str">
        <f>+'Plan de Accion 2018'!B119</f>
        <v>Oficina de Control Interno</v>
      </c>
      <c r="F114" s="340" t="str">
        <f>+'Plan de Accion 2018'!R119</f>
        <v>(Número de informes presentados oportunamente a entes externos / Número de informes requeridos por entes externos en el marco de la normatividad vigente)*100</v>
      </c>
      <c r="G114" s="387"/>
      <c r="H114" s="336">
        <f>+'Plan de Accion 2018'!AA119</f>
        <v>0.47</v>
      </c>
      <c r="I114" s="401">
        <f>+'Plan de Accion 2018'!BL119</f>
        <v>0.88679245283018859</v>
      </c>
      <c r="J114" s="330">
        <f>+'Plan de Accion 2018'!AE119</f>
        <v>0.47</v>
      </c>
      <c r="K114" s="344"/>
      <c r="L114" s="336">
        <f>+'Plan de Accion 2018'!AK119</f>
        <v>0</v>
      </c>
      <c r="M114" s="337">
        <f>+'Plan de Accion 2018'!BN119</f>
        <v>0</v>
      </c>
      <c r="N114" s="338">
        <f>+'Plan de Accion 2018'!AO119</f>
        <v>0.47</v>
      </c>
      <c r="O114" s="344"/>
      <c r="P114" s="336">
        <f>+'Plan de Accion 2018'!AU119</f>
        <v>0</v>
      </c>
      <c r="Q114" s="337">
        <f>+'Plan de Accion 2018'!BP119</f>
        <v>0</v>
      </c>
      <c r="R114" s="338">
        <f>+'Plan de Accion 2018'!AY119</f>
        <v>0.47</v>
      </c>
      <c r="S114" s="344"/>
      <c r="T114" s="336">
        <f>+'Plan de Accion 2018'!BE119</f>
        <v>0</v>
      </c>
      <c r="U114" s="337">
        <f>+'Plan de Accion 2018'!BR119</f>
        <v>0</v>
      </c>
      <c r="V114" s="338">
        <f>+'Plan de Accion 2018'!BI119</f>
        <v>0.47</v>
      </c>
      <c r="W114" s="356"/>
      <c r="X114" s="372"/>
      <c r="Y114" s="785"/>
      <c r="Z114" s="785"/>
      <c r="AA114" s="326"/>
      <c r="AB114" s="791"/>
      <c r="AC114" s="785"/>
      <c r="AD114" s="326"/>
      <c r="AE114" s="785"/>
      <c r="AF114" s="785"/>
      <c r="AG114" s="326"/>
      <c r="AH114" s="785"/>
      <c r="AI114" s="785"/>
      <c r="AJ114" s="334"/>
      <c r="AK114" s="357"/>
      <c r="AL114" s="376"/>
      <c r="AM114" s="785"/>
      <c r="AN114" s="785"/>
      <c r="AO114" s="326"/>
      <c r="AP114" s="791"/>
      <c r="AQ114" s="785"/>
      <c r="AR114" s="326"/>
      <c r="AS114" s="785"/>
      <c r="AT114" s="785"/>
      <c r="AU114" s="326"/>
      <c r="AV114" s="785"/>
      <c r="AW114" s="785"/>
      <c r="AX114" s="334"/>
      <c r="AY114" s="357"/>
      <c r="BA114" s="785"/>
      <c r="BB114" s="785"/>
      <c r="BC114" s="326"/>
      <c r="BD114" s="791"/>
      <c r="BE114" s="785"/>
      <c r="BF114" s="326"/>
      <c r="BG114" s="785"/>
      <c r="BH114" s="785"/>
      <c r="BI114" s="326"/>
      <c r="BJ114" s="785"/>
      <c r="BK114" s="785"/>
      <c r="BL114" s="334"/>
      <c r="BM114" s="357"/>
      <c r="BO114" s="785"/>
      <c r="BP114" s="785"/>
      <c r="BQ114" s="326"/>
      <c r="BR114" s="791"/>
      <c r="BS114" s="785"/>
      <c r="BT114" s="326"/>
      <c r="BU114" s="785"/>
      <c r="BV114" s="785"/>
      <c r="BW114" s="326"/>
      <c r="BX114" s="785"/>
      <c r="BY114" s="785"/>
      <c r="BZ114" s="334"/>
      <c r="CA114" s="357"/>
    </row>
    <row r="115" spans="2:79" ht="28.5" x14ac:dyDescent="0.25">
      <c r="B115" s="848"/>
      <c r="C115" s="812"/>
      <c r="D115" s="341" t="str">
        <f>+'Plan de Accion 2018'!F141</f>
        <v>Informes de seguimiento a la Ejecución del Plan de Acción</v>
      </c>
      <c r="E115" s="818" t="str">
        <f>+'Plan de Accion 2018'!B141</f>
        <v>Oficina Asesora de Planeación y Control de Riegos</v>
      </c>
      <c r="F115" s="872" t="str">
        <f>+'Plan de Accion 2018'!R141</f>
        <v xml:space="preserve"># Informes Publicados </v>
      </c>
      <c r="G115" s="387"/>
      <c r="H115" s="343">
        <f>+'Plan de Accion 2018'!AA141</f>
        <v>1</v>
      </c>
      <c r="I115" s="337">
        <f>+'Plan de Accion 2018'!BL141</f>
        <v>1</v>
      </c>
      <c r="J115" s="330">
        <f>+'Plan de Accion 2018'!AE141</f>
        <v>0.25</v>
      </c>
      <c r="K115" s="344"/>
      <c r="L115" s="336">
        <f>+'Plan de Accion 2018'!AK141</f>
        <v>0</v>
      </c>
      <c r="M115" s="337">
        <f>+'Plan de Accion 2018'!BN141</f>
        <v>0</v>
      </c>
      <c r="N115" s="338">
        <f>+'Plan de Accion 2018'!AO141</f>
        <v>0.25</v>
      </c>
      <c r="O115" s="344"/>
      <c r="P115" s="336">
        <f>+'Plan de Accion 2018'!AU141</f>
        <v>0</v>
      </c>
      <c r="Q115" s="337">
        <f>+'Plan de Accion 2018'!BP141</f>
        <v>0</v>
      </c>
      <c r="R115" s="338">
        <f>+'Plan de Accion 2018'!AY141</f>
        <v>0.25</v>
      </c>
      <c r="S115" s="344"/>
      <c r="T115" s="336">
        <f>+'Plan de Accion 2018'!BE141</f>
        <v>0</v>
      </c>
      <c r="U115" s="337">
        <f>+'Plan de Accion 2018'!BR141</f>
        <v>0</v>
      </c>
      <c r="V115" s="338">
        <f>+'Plan de Accion 2018'!BI141</f>
        <v>0.25</v>
      </c>
      <c r="W115" s="358"/>
      <c r="X115" s="372"/>
      <c r="Y115" s="786"/>
      <c r="Z115" s="786"/>
      <c r="AA115" s="326"/>
      <c r="AB115" s="792"/>
      <c r="AC115" s="786"/>
      <c r="AD115" s="326"/>
      <c r="AE115" s="786"/>
      <c r="AF115" s="786"/>
      <c r="AG115" s="326"/>
      <c r="AH115" s="786"/>
      <c r="AI115" s="786"/>
      <c r="AJ115" s="334"/>
      <c r="AK115" s="359"/>
      <c r="AL115" s="376"/>
      <c r="AM115" s="786"/>
      <c r="AN115" s="786"/>
      <c r="AO115" s="326"/>
      <c r="AP115" s="792"/>
      <c r="AQ115" s="786"/>
      <c r="AR115" s="326"/>
      <c r="AS115" s="786"/>
      <c r="AT115" s="786"/>
      <c r="AU115" s="326"/>
      <c r="AV115" s="786"/>
      <c r="AW115" s="786"/>
      <c r="AX115" s="334"/>
      <c r="AY115" s="359"/>
      <c r="BA115" s="786"/>
      <c r="BB115" s="786"/>
      <c r="BC115" s="326"/>
      <c r="BD115" s="792"/>
      <c r="BE115" s="786"/>
      <c r="BF115" s="326"/>
      <c r="BG115" s="786"/>
      <c r="BH115" s="786"/>
      <c r="BI115" s="326"/>
      <c r="BJ115" s="786"/>
      <c r="BK115" s="786"/>
      <c r="BL115" s="334"/>
      <c r="BM115" s="359"/>
      <c r="BO115" s="786"/>
      <c r="BP115" s="786"/>
      <c r="BQ115" s="326"/>
      <c r="BR115" s="792"/>
      <c r="BS115" s="786"/>
      <c r="BT115" s="326"/>
      <c r="BU115" s="786"/>
      <c r="BV115" s="786"/>
      <c r="BW115" s="326"/>
      <c r="BX115" s="786"/>
      <c r="BY115" s="786"/>
      <c r="BZ115" s="334"/>
      <c r="CA115" s="359"/>
    </row>
    <row r="116" spans="2:79" ht="43.5" thickBot="1" x14ac:dyDescent="0.3">
      <c r="B116" s="848"/>
      <c r="C116" s="813"/>
      <c r="D116" s="346" t="str">
        <f>+'Plan de Accion 2018'!J143</f>
        <v>Elaboración del Informe de Rendición de Cuentas al Congreso de la República 2017-2018</v>
      </c>
      <c r="E116" s="839"/>
      <c r="F116" s="873"/>
      <c r="G116" s="387"/>
      <c r="H116" s="402">
        <f>+'Plan de Accion 2018'!AA143</f>
        <v>0</v>
      </c>
      <c r="I116" s="349" t="str">
        <f>+'Plan de Accion 2018'!BL143</f>
        <v>No Prog ni Ejec</v>
      </c>
      <c r="J116" s="440">
        <f>+'Plan de Accion 2018'!AE143</f>
        <v>0</v>
      </c>
      <c r="K116" s="344"/>
      <c r="L116" s="348">
        <f>+'Plan de Accion 2018'!AK143</f>
        <v>0</v>
      </c>
      <c r="M116" s="349" t="str">
        <f>+'Plan de Accion 2018'!BN143</f>
        <v>No Prog ni Ejec</v>
      </c>
      <c r="N116" s="350">
        <f>+'Plan de Accion 2018'!AO143</f>
        <v>0</v>
      </c>
      <c r="O116" s="344"/>
      <c r="P116" s="348">
        <f>+'Plan de Accion 2018'!AU143</f>
        <v>0</v>
      </c>
      <c r="Q116" s="349">
        <f>+'Plan de Accion 2018'!BP143</f>
        <v>0</v>
      </c>
      <c r="R116" s="350">
        <f>+'Plan de Accion 2018'!AY143</f>
        <v>0</v>
      </c>
      <c r="S116" s="344"/>
      <c r="T116" s="348">
        <f>+'Plan de Accion 2018'!BE143</f>
        <v>0</v>
      </c>
      <c r="U116" s="349" t="str">
        <f>+'Plan de Accion 2018'!BR143</f>
        <v>No Prog ni Ejec</v>
      </c>
      <c r="V116" s="350">
        <f>+'Plan de Accion 2018'!BI143</f>
        <v>0</v>
      </c>
      <c r="W116" s="360"/>
      <c r="X116" s="372"/>
      <c r="Y116" s="787"/>
      <c r="Z116" s="787"/>
      <c r="AA116" s="326"/>
      <c r="AB116" s="793"/>
      <c r="AC116" s="787"/>
      <c r="AD116" s="326"/>
      <c r="AE116" s="787"/>
      <c r="AF116" s="787"/>
      <c r="AG116" s="326"/>
      <c r="AH116" s="787"/>
      <c r="AI116" s="787"/>
      <c r="AJ116" s="334"/>
      <c r="AK116" s="361"/>
      <c r="AL116" s="376"/>
      <c r="AM116" s="787"/>
      <c r="AN116" s="787"/>
      <c r="AO116" s="326"/>
      <c r="AP116" s="793"/>
      <c r="AQ116" s="787"/>
      <c r="AR116" s="326"/>
      <c r="AS116" s="787"/>
      <c r="AT116" s="787"/>
      <c r="AU116" s="326"/>
      <c r="AV116" s="787"/>
      <c r="AW116" s="787"/>
      <c r="AX116" s="334"/>
      <c r="AY116" s="361"/>
      <c r="BA116" s="787"/>
      <c r="BB116" s="787"/>
      <c r="BC116" s="326"/>
      <c r="BD116" s="793"/>
      <c r="BE116" s="787"/>
      <c r="BF116" s="326"/>
      <c r="BG116" s="787"/>
      <c r="BH116" s="787"/>
      <c r="BI116" s="326"/>
      <c r="BJ116" s="787"/>
      <c r="BK116" s="787"/>
      <c r="BL116" s="334"/>
      <c r="BM116" s="361"/>
      <c r="BO116" s="787"/>
      <c r="BP116" s="787"/>
      <c r="BQ116" s="326"/>
      <c r="BR116" s="793"/>
      <c r="BS116" s="787"/>
      <c r="BT116" s="326"/>
      <c r="BU116" s="787"/>
      <c r="BV116" s="787"/>
      <c r="BW116" s="326"/>
      <c r="BX116" s="787"/>
      <c r="BY116" s="787"/>
      <c r="BZ116" s="334"/>
      <c r="CA116" s="361"/>
    </row>
    <row r="117" spans="2:79" ht="33.75" customHeight="1" thickBot="1" x14ac:dyDescent="0.3">
      <c r="B117" s="853"/>
      <c r="C117" s="814" t="s">
        <v>817</v>
      </c>
      <c r="D117" s="815"/>
      <c r="E117" s="815"/>
      <c r="F117" s="816"/>
      <c r="G117" s="387"/>
      <c r="H117" s="367" t="s">
        <v>792</v>
      </c>
      <c r="I117" s="353">
        <f>SUM(I105:I116)/COUNT(I105:I116)</f>
        <v>1.2588964364664315</v>
      </c>
      <c r="J117" s="355">
        <f>SUM(J105:J116)/COUNT(J105:J116)</f>
        <v>0.37549194485990761</v>
      </c>
      <c r="K117" s="378"/>
      <c r="L117" s="367" t="s">
        <v>792</v>
      </c>
      <c r="M117" s="353">
        <f>SUM(M105:M116)/COUNT(M105:M116)</f>
        <v>0</v>
      </c>
      <c r="N117" s="355">
        <f>SUM(N105:N116)/COUNT(N105:N116)</f>
        <v>0.37549194485990761</v>
      </c>
      <c r="O117" s="378"/>
      <c r="P117" s="367" t="s">
        <v>792</v>
      </c>
      <c r="Q117" s="353">
        <f>SUM(Q105:Q116)/COUNT(Q105:Q116)</f>
        <v>0</v>
      </c>
      <c r="R117" s="355">
        <f>SUM(R105:R116)/COUNT(R105:R116)</f>
        <v>0.37549194485990761</v>
      </c>
      <c r="S117" s="378"/>
      <c r="T117" s="367" t="s">
        <v>792</v>
      </c>
      <c r="U117" s="353">
        <f>SUM(U105:U116)/COUNT(U105:U116)</f>
        <v>0</v>
      </c>
      <c r="V117" s="355">
        <f>SUM(V105:V116)/COUNT(V105:V116)</f>
        <v>0.37549194485990761</v>
      </c>
      <c r="W117" s="358"/>
      <c r="X117" s="372"/>
      <c r="Y117" s="362"/>
      <c r="Z117" s="362"/>
      <c r="AA117" s="326"/>
      <c r="AB117" s="363"/>
      <c r="AC117" s="362"/>
      <c r="AD117" s="326"/>
      <c r="AE117" s="362"/>
      <c r="AF117" s="362"/>
      <c r="AG117" s="326"/>
      <c r="AH117" s="362"/>
      <c r="AI117" s="362"/>
      <c r="AJ117" s="334"/>
      <c r="AK117" s="359"/>
      <c r="AL117" s="376"/>
      <c r="AM117" s="362"/>
      <c r="AN117" s="362"/>
      <c r="AO117" s="326"/>
      <c r="AP117" s="363"/>
      <c r="AQ117" s="362"/>
      <c r="AR117" s="326"/>
      <c r="AS117" s="362"/>
      <c r="AT117" s="362"/>
      <c r="AU117" s="326"/>
      <c r="AV117" s="362"/>
      <c r="AW117" s="362"/>
      <c r="AX117" s="334"/>
      <c r="AY117" s="359"/>
      <c r="BA117" s="362"/>
      <c r="BB117" s="362"/>
      <c r="BC117" s="326"/>
      <c r="BD117" s="363"/>
      <c r="BE117" s="362"/>
      <c r="BF117" s="326"/>
      <c r="BG117" s="362"/>
      <c r="BH117" s="362"/>
      <c r="BI117" s="326"/>
      <c r="BJ117" s="362"/>
      <c r="BK117" s="362"/>
      <c r="BL117" s="334"/>
      <c r="BM117" s="359"/>
      <c r="BO117" s="362"/>
      <c r="BP117" s="362"/>
      <c r="BQ117" s="326"/>
      <c r="BR117" s="363"/>
      <c r="BS117" s="362"/>
      <c r="BT117" s="326"/>
      <c r="BU117" s="362"/>
      <c r="BV117" s="362"/>
      <c r="BW117" s="326"/>
      <c r="BX117" s="362"/>
      <c r="BY117" s="362"/>
      <c r="BZ117" s="334"/>
      <c r="CA117" s="359"/>
    </row>
    <row r="118" spans="2:79" ht="28.5" x14ac:dyDescent="0.25">
      <c r="B118" s="848"/>
      <c r="C118" s="840" t="s">
        <v>144</v>
      </c>
      <c r="D118" s="369" t="str">
        <f>+'Plan de Accion 2018'!F48</f>
        <v>Proceso de Compensación</v>
      </c>
      <c r="E118" s="778" t="str">
        <f>+'Plan de Accion 2018'!B48</f>
        <v>Dirección de Liquidaciones y Garantías</v>
      </c>
      <c r="F118" s="370" t="str">
        <f>+'Plan de Accion 2018'!R48</f>
        <v># Procesos de Compensación Ejecutados</v>
      </c>
      <c r="G118" s="387"/>
      <c r="H118" s="403">
        <f>+'Plan de Accion 2018'!AA48</f>
        <v>11</v>
      </c>
      <c r="I118" s="328">
        <f>+'Plan de Accion 2018'!BL48</f>
        <v>1</v>
      </c>
      <c r="J118" s="330">
        <f>+'Plan de Accion 2018'!AE48</f>
        <v>0.23404255319148937</v>
      </c>
      <c r="K118" s="344"/>
      <c r="L118" s="327">
        <f>+'Plan de Accion 2018'!AK48</f>
        <v>0</v>
      </c>
      <c r="M118" s="328">
        <f>+'Plan de Accion 2018'!BN48</f>
        <v>0</v>
      </c>
      <c r="N118" s="330">
        <f>+'Plan de Accion 2018'!AO48</f>
        <v>0.23404255319148937</v>
      </c>
      <c r="O118" s="344"/>
      <c r="P118" s="327">
        <f>+'Plan de Accion 2018'!AU48</f>
        <v>0</v>
      </c>
      <c r="Q118" s="328">
        <f>+'Plan de Accion 2018'!BP48</f>
        <v>0</v>
      </c>
      <c r="R118" s="330">
        <f>+'Plan de Accion 2018'!AY48</f>
        <v>0.23404255319148937</v>
      </c>
      <c r="S118" s="344"/>
      <c r="T118" s="327">
        <f>+'Plan de Accion 2018'!BE48</f>
        <v>0</v>
      </c>
      <c r="U118" s="328">
        <f>+'Plan de Accion 2018'!BR48</f>
        <v>0</v>
      </c>
      <c r="V118" s="330">
        <f>+'Plan de Accion 2018'!BI48</f>
        <v>0.23404255319148937</v>
      </c>
      <c r="W118" s="356"/>
      <c r="X118" s="372"/>
      <c r="Y118" s="362"/>
      <c r="Z118" s="362"/>
      <c r="AA118" s="326"/>
      <c r="AB118" s="363"/>
      <c r="AC118" s="362"/>
      <c r="AD118" s="326"/>
      <c r="AE118" s="362"/>
      <c r="AF118" s="362"/>
      <c r="AG118" s="326"/>
      <c r="AH118" s="362"/>
      <c r="AI118" s="362"/>
      <c r="AJ118" s="334"/>
      <c r="AK118" s="359"/>
      <c r="AL118" s="376"/>
      <c r="AM118" s="362"/>
      <c r="AN118" s="362"/>
      <c r="AO118" s="326"/>
      <c r="AP118" s="363"/>
      <c r="AQ118" s="362"/>
      <c r="AR118" s="326"/>
      <c r="AS118" s="362"/>
      <c r="AT118" s="362"/>
      <c r="AU118" s="326"/>
      <c r="AV118" s="362"/>
      <c r="AW118" s="362"/>
      <c r="AX118" s="334"/>
      <c r="AY118" s="359"/>
      <c r="BA118" s="362"/>
      <c r="BB118" s="362"/>
      <c r="BC118" s="326"/>
      <c r="BD118" s="363"/>
      <c r="BE118" s="362"/>
      <c r="BF118" s="326"/>
      <c r="BG118" s="362"/>
      <c r="BH118" s="362"/>
      <c r="BI118" s="326"/>
      <c r="BJ118" s="362"/>
      <c r="BK118" s="362"/>
      <c r="BL118" s="334"/>
      <c r="BM118" s="359"/>
      <c r="BO118" s="362"/>
      <c r="BP118" s="362"/>
      <c r="BQ118" s="326"/>
      <c r="BR118" s="363"/>
      <c r="BS118" s="362"/>
      <c r="BT118" s="326"/>
      <c r="BU118" s="362"/>
      <c r="BV118" s="362"/>
      <c r="BW118" s="326"/>
      <c r="BX118" s="362"/>
      <c r="BY118" s="362"/>
      <c r="BZ118" s="334"/>
      <c r="CA118" s="359"/>
    </row>
    <row r="119" spans="2:79" ht="28.5" x14ac:dyDescent="0.25">
      <c r="B119" s="848"/>
      <c r="C119" s="812"/>
      <c r="D119" s="339" t="str">
        <f>+'Plan de Accion 2018'!F49</f>
        <v>Liquidación de la UPC de los Afiliados del Régimen Subsidiado</v>
      </c>
      <c r="E119" s="773"/>
      <c r="F119" s="365" t="str">
        <f>+'Plan de Accion 2018'!R49</f>
        <v xml:space="preserve"># Procesos de LMA Ejecutados </v>
      </c>
      <c r="G119" s="387"/>
      <c r="H119" s="343">
        <f>+'Plan de Accion 2018'!AA49</f>
        <v>3</v>
      </c>
      <c r="I119" s="337">
        <f>+'Plan de Accion 2018'!BL49</f>
        <v>1</v>
      </c>
      <c r="J119" s="330">
        <f>+'Plan de Accion 2018'!AE49</f>
        <v>0.25</v>
      </c>
      <c r="K119" s="344"/>
      <c r="L119" s="336">
        <f>+'Plan de Accion 2018'!AK49</f>
        <v>0</v>
      </c>
      <c r="M119" s="337">
        <f>+'Plan de Accion 2018'!BN49</f>
        <v>0</v>
      </c>
      <c r="N119" s="338">
        <f>+'Plan de Accion 2018'!AO49</f>
        <v>0.25</v>
      </c>
      <c r="O119" s="344"/>
      <c r="P119" s="336">
        <f>+'Plan de Accion 2018'!AU49</f>
        <v>0</v>
      </c>
      <c r="Q119" s="337">
        <f>+'Plan de Accion 2018'!BP49</f>
        <v>0</v>
      </c>
      <c r="R119" s="338">
        <f>+'Plan de Accion 2018'!AY49</f>
        <v>0.25</v>
      </c>
      <c r="S119" s="344"/>
      <c r="T119" s="336">
        <f>+'Plan de Accion 2018'!BE49</f>
        <v>0</v>
      </c>
      <c r="U119" s="337">
        <f>+'Plan de Accion 2018'!BR49</f>
        <v>0</v>
      </c>
      <c r="V119" s="338">
        <f>+'Plan de Accion 2018'!BI49</f>
        <v>0.25</v>
      </c>
      <c r="W119" s="358"/>
      <c r="X119" s="372"/>
      <c r="Y119" s="362"/>
      <c r="Z119" s="362"/>
      <c r="AA119" s="326"/>
      <c r="AB119" s="363"/>
      <c r="AC119" s="362"/>
      <c r="AD119" s="326"/>
      <c r="AE119" s="362"/>
      <c r="AF119" s="362"/>
      <c r="AG119" s="326"/>
      <c r="AH119" s="362"/>
      <c r="AI119" s="362"/>
      <c r="AJ119" s="334"/>
      <c r="AK119" s="359"/>
      <c r="AL119" s="376"/>
      <c r="AM119" s="362"/>
      <c r="AN119" s="362"/>
      <c r="AO119" s="326"/>
      <c r="AP119" s="363"/>
      <c r="AQ119" s="362"/>
      <c r="AR119" s="326"/>
      <c r="AS119" s="362"/>
      <c r="AT119" s="362"/>
      <c r="AU119" s="326"/>
      <c r="AV119" s="362"/>
      <c r="AW119" s="362"/>
      <c r="AX119" s="334"/>
      <c r="AY119" s="359"/>
      <c r="BA119" s="362"/>
      <c r="BB119" s="362"/>
      <c r="BC119" s="326"/>
      <c r="BD119" s="363"/>
      <c r="BE119" s="362"/>
      <c r="BF119" s="326"/>
      <c r="BG119" s="362"/>
      <c r="BH119" s="362"/>
      <c r="BI119" s="326"/>
      <c r="BJ119" s="362"/>
      <c r="BK119" s="362"/>
      <c r="BL119" s="334"/>
      <c r="BM119" s="359"/>
      <c r="BO119" s="362"/>
      <c r="BP119" s="362"/>
      <c r="BQ119" s="326"/>
      <c r="BR119" s="363"/>
      <c r="BS119" s="362"/>
      <c r="BT119" s="326"/>
      <c r="BU119" s="362"/>
      <c r="BV119" s="362"/>
      <c r="BW119" s="326"/>
      <c r="BX119" s="362"/>
      <c r="BY119" s="362"/>
      <c r="BZ119" s="334"/>
      <c r="CA119" s="359"/>
    </row>
    <row r="120" spans="2:79" ht="29.25" thickBot="1" x14ac:dyDescent="0.3">
      <c r="B120" s="848"/>
      <c r="C120" s="812"/>
      <c r="D120" s="339" t="str">
        <f>+'Plan de Accion 2018'!F50</f>
        <v>Giro Directo RC</v>
      </c>
      <c r="E120" s="773"/>
      <c r="F120" s="365" t="str">
        <f>+'Plan de Accion 2018'!R50</f>
        <v># Giros Directos Ejecutados y Publicados</v>
      </c>
      <c r="G120" s="387"/>
      <c r="H120" s="343">
        <f>+'Plan de Accion 2018'!AA50</f>
        <v>3</v>
      </c>
      <c r="I120" s="337">
        <f>+'Plan de Accion 2018'!BL50</f>
        <v>1</v>
      </c>
      <c r="J120" s="330">
        <f>+'Plan de Accion 2018'!AE50</f>
        <v>0.25</v>
      </c>
      <c r="K120" s="344"/>
      <c r="L120" s="336">
        <f>+'Plan de Accion 2018'!AK50</f>
        <v>0</v>
      </c>
      <c r="M120" s="337">
        <f>+'Plan de Accion 2018'!BN50</f>
        <v>0</v>
      </c>
      <c r="N120" s="338">
        <f>+'Plan de Accion 2018'!AO50</f>
        <v>0.25</v>
      </c>
      <c r="O120" s="344"/>
      <c r="P120" s="336">
        <f>+'Plan de Accion 2018'!AU50</f>
        <v>0</v>
      </c>
      <c r="Q120" s="337">
        <f>+'Plan de Accion 2018'!BP50</f>
        <v>0</v>
      </c>
      <c r="R120" s="338">
        <f>+'Plan de Accion 2018'!AY50</f>
        <v>0.25</v>
      </c>
      <c r="S120" s="344"/>
      <c r="T120" s="336">
        <f>+'Plan de Accion 2018'!BE50</f>
        <v>0</v>
      </c>
      <c r="U120" s="337">
        <f>+'Plan de Accion 2018'!BR50</f>
        <v>0</v>
      </c>
      <c r="V120" s="338">
        <f>+'Plan de Accion 2018'!BI50</f>
        <v>0.25</v>
      </c>
      <c r="W120" s="360"/>
      <c r="X120" s="372"/>
      <c r="Y120" s="362"/>
      <c r="Z120" s="362"/>
      <c r="AA120" s="326"/>
      <c r="AB120" s="363"/>
      <c r="AC120" s="362"/>
      <c r="AD120" s="326"/>
      <c r="AE120" s="362"/>
      <c r="AF120" s="362"/>
      <c r="AG120" s="326"/>
      <c r="AH120" s="362"/>
      <c r="AI120" s="362"/>
      <c r="AJ120" s="334"/>
      <c r="AK120" s="359"/>
      <c r="AL120" s="376"/>
      <c r="AM120" s="362"/>
      <c r="AN120" s="362"/>
      <c r="AO120" s="326"/>
      <c r="AP120" s="363"/>
      <c r="AQ120" s="362"/>
      <c r="AR120" s="326"/>
      <c r="AS120" s="362"/>
      <c r="AT120" s="362"/>
      <c r="AU120" s="326"/>
      <c r="AV120" s="362"/>
      <c r="AW120" s="362"/>
      <c r="AX120" s="334"/>
      <c r="AY120" s="359"/>
      <c r="BA120" s="362"/>
      <c r="BB120" s="362"/>
      <c r="BC120" s="326"/>
      <c r="BD120" s="363"/>
      <c r="BE120" s="362"/>
      <c r="BF120" s="326"/>
      <c r="BG120" s="362"/>
      <c r="BH120" s="362"/>
      <c r="BI120" s="326"/>
      <c r="BJ120" s="362"/>
      <c r="BK120" s="362"/>
      <c r="BL120" s="334"/>
      <c r="BM120" s="359"/>
      <c r="BO120" s="362"/>
      <c r="BP120" s="362"/>
      <c r="BQ120" s="326"/>
      <c r="BR120" s="363"/>
      <c r="BS120" s="362"/>
      <c r="BT120" s="326"/>
      <c r="BU120" s="362"/>
      <c r="BV120" s="362"/>
      <c r="BW120" s="326"/>
      <c r="BX120" s="362"/>
      <c r="BY120" s="362"/>
      <c r="BZ120" s="334"/>
      <c r="CA120" s="359"/>
    </row>
    <row r="121" spans="2:79" ht="28.5" x14ac:dyDescent="0.25">
      <c r="B121" s="848"/>
      <c r="C121" s="812"/>
      <c r="D121" s="339" t="str">
        <f>+'Plan de Accion 2018'!F51</f>
        <v>Giro Directo RS</v>
      </c>
      <c r="E121" s="773"/>
      <c r="F121" s="365" t="str">
        <f>+'Plan de Accion 2018'!R51</f>
        <v># Giros Directos Ejecutados y Publicados</v>
      </c>
      <c r="G121" s="387"/>
      <c r="H121" s="343">
        <f>+'Plan de Accion 2018'!AA51</f>
        <v>3</v>
      </c>
      <c r="I121" s="337">
        <f>+'Plan de Accion 2018'!BL51</f>
        <v>1</v>
      </c>
      <c r="J121" s="330">
        <f>+'Plan de Accion 2018'!AE51</f>
        <v>0.25</v>
      </c>
      <c r="K121" s="344"/>
      <c r="L121" s="336">
        <f>+'Plan de Accion 2018'!AK51</f>
        <v>0</v>
      </c>
      <c r="M121" s="337">
        <f>+'Plan de Accion 2018'!BN51</f>
        <v>0</v>
      </c>
      <c r="N121" s="338">
        <f>+'Plan de Accion 2018'!AO51</f>
        <v>0.25</v>
      </c>
      <c r="O121" s="344"/>
      <c r="P121" s="336">
        <f>+'Plan de Accion 2018'!AU51</f>
        <v>0</v>
      </c>
      <c r="Q121" s="337">
        <f>+'Plan de Accion 2018'!BP51</f>
        <v>0</v>
      </c>
      <c r="R121" s="338">
        <f>+'Plan de Accion 2018'!AY51</f>
        <v>0.25</v>
      </c>
      <c r="S121" s="344"/>
      <c r="T121" s="336">
        <f>+'Plan de Accion 2018'!BE51</f>
        <v>0</v>
      </c>
      <c r="U121" s="337">
        <f>+'Plan de Accion 2018'!BR51</f>
        <v>0</v>
      </c>
      <c r="V121" s="338">
        <f>+'Plan de Accion 2018'!BI51</f>
        <v>0.25</v>
      </c>
      <c r="W121" s="356"/>
      <c r="X121" s="372"/>
      <c r="Y121" s="362"/>
      <c r="Z121" s="362"/>
      <c r="AA121" s="326"/>
      <c r="AB121" s="363"/>
      <c r="AC121" s="362"/>
      <c r="AD121" s="326"/>
      <c r="AE121" s="362"/>
      <c r="AF121" s="362"/>
      <c r="AG121" s="326"/>
      <c r="AH121" s="362"/>
      <c r="AI121" s="362"/>
      <c r="AJ121" s="334"/>
      <c r="AK121" s="359"/>
      <c r="AL121" s="376"/>
      <c r="AM121" s="362"/>
      <c r="AN121" s="362"/>
      <c r="AO121" s="326"/>
      <c r="AP121" s="363"/>
      <c r="AQ121" s="362"/>
      <c r="AR121" s="326"/>
      <c r="AS121" s="362"/>
      <c r="AT121" s="362"/>
      <c r="AU121" s="326"/>
      <c r="AV121" s="362"/>
      <c r="AW121" s="362"/>
      <c r="AX121" s="334"/>
      <c r="AY121" s="359"/>
      <c r="BA121" s="362"/>
      <c r="BB121" s="362"/>
      <c r="BC121" s="326"/>
      <c r="BD121" s="363"/>
      <c r="BE121" s="362"/>
      <c r="BF121" s="326"/>
      <c r="BG121" s="362"/>
      <c r="BH121" s="362"/>
      <c r="BI121" s="326"/>
      <c r="BJ121" s="362"/>
      <c r="BK121" s="362"/>
      <c r="BL121" s="334"/>
      <c r="BM121" s="359"/>
      <c r="BO121" s="362"/>
      <c r="BP121" s="362"/>
      <c r="BQ121" s="326"/>
      <c r="BR121" s="363"/>
      <c r="BS121" s="362"/>
      <c r="BT121" s="326"/>
      <c r="BU121" s="362"/>
      <c r="BV121" s="362"/>
      <c r="BW121" s="326"/>
      <c r="BX121" s="362"/>
      <c r="BY121" s="362"/>
      <c r="BZ121" s="334"/>
      <c r="CA121" s="359"/>
    </row>
    <row r="122" spans="2:79" ht="57" x14ac:dyDescent="0.25">
      <c r="B122" s="848"/>
      <c r="C122" s="812"/>
      <c r="D122" s="773" t="str">
        <f>+'Plan de Accion 2018'!F52</f>
        <v>Prestaciones económicas REX</v>
      </c>
      <c r="E122" s="773"/>
      <c r="F122" s="365" t="str">
        <f>+'Plan de Accion 2018'!R52</f>
        <v># Solicitudes de Prestaciones Económicas Tramitadas / # Solicitudes de Prestaciones Económicas Presentadas</v>
      </c>
      <c r="G122" s="387"/>
      <c r="H122" s="336">
        <f>+'Plan de Accion 2018'!AA52</f>
        <v>0.14285714285714285</v>
      </c>
      <c r="I122" s="337">
        <f>+'Plan de Accion 2018'!BL52</f>
        <v>0.5714285714285714</v>
      </c>
      <c r="J122" s="330">
        <f>+'Plan de Accion 2018'!AE52</f>
        <v>0.14285714285714285</v>
      </c>
      <c r="K122" s="344"/>
      <c r="L122" s="336">
        <f>+'Plan de Accion 2018'!AK52</f>
        <v>0</v>
      </c>
      <c r="M122" s="337">
        <f>+'Plan de Accion 2018'!BN52</f>
        <v>0</v>
      </c>
      <c r="N122" s="338">
        <f>+'Plan de Accion 2018'!AO52</f>
        <v>0.14285714285714285</v>
      </c>
      <c r="O122" s="344"/>
      <c r="P122" s="336">
        <f>+'Plan de Accion 2018'!AU52</f>
        <v>0</v>
      </c>
      <c r="Q122" s="337">
        <f>+'Plan de Accion 2018'!BP52</f>
        <v>0</v>
      </c>
      <c r="R122" s="338">
        <f>+'Plan de Accion 2018'!AY52</f>
        <v>0.14285714285714285</v>
      </c>
      <c r="S122" s="344"/>
      <c r="T122" s="336">
        <f>+'Plan de Accion 2018'!BE52</f>
        <v>0</v>
      </c>
      <c r="U122" s="337">
        <f>+'Plan de Accion 2018'!BR52</f>
        <v>0</v>
      </c>
      <c r="V122" s="338">
        <f>+'Plan de Accion 2018'!BI52</f>
        <v>0.14285714285714285</v>
      </c>
      <c r="W122" s="358"/>
      <c r="X122" s="372"/>
      <c r="Y122" s="362"/>
      <c r="Z122" s="362"/>
      <c r="AA122" s="326"/>
      <c r="AB122" s="363"/>
      <c r="AC122" s="362"/>
      <c r="AD122" s="326"/>
      <c r="AE122" s="362"/>
      <c r="AF122" s="362"/>
      <c r="AG122" s="326"/>
      <c r="AH122" s="362"/>
      <c r="AI122" s="362"/>
      <c r="AJ122" s="334"/>
      <c r="AK122" s="359"/>
      <c r="AL122" s="376"/>
      <c r="AM122" s="362"/>
      <c r="AN122" s="362"/>
      <c r="AO122" s="326"/>
      <c r="AP122" s="363"/>
      <c r="AQ122" s="362"/>
      <c r="AR122" s="326"/>
      <c r="AS122" s="362"/>
      <c r="AT122" s="362"/>
      <c r="AU122" s="326"/>
      <c r="AV122" s="362"/>
      <c r="AW122" s="362"/>
      <c r="AX122" s="334"/>
      <c r="AY122" s="359"/>
      <c r="BA122" s="362"/>
      <c r="BB122" s="362"/>
      <c r="BC122" s="326"/>
      <c r="BD122" s="363"/>
      <c r="BE122" s="362"/>
      <c r="BF122" s="326"/>
      <c r="BG122" s="362"/>
      <c r="BH122" s="362"/>
      <c r="BI122" s="326"/>
      <c r="BJ122" s="362"/>
      <c r="BK122" s="362"/>
      <c r="BL122" s="334"/>
      <c r="BM122" s="359"/>
      <c r="BO122" s="362"/>
      <c r="BP122" s="362"/>
      <c r="BQ122" s="326"/>
      <c r="BR122" s="363"/>
      <c r="BS122" s="362"/>
      <c r="BT122" s="326"/>
      <c r="BU122" s="362"/>
      <c r="BV122" s="362"/>
      <c r="BW122" s="326"/>
      <c r="BX122" s="362"/>
      <c r="BY122" s="362"/>
      <c r="BZ122" s="334"/>
      <c r="CA122" s="359"/>
    </row>
    <row r="123" spans="2:79" ht="57.75" thickBot="1" x14ac:dyDescent="0.3">
      <c r="B123" s="848"/>
      <c r="C123" s="812"/>
      <c r="D123" s="773"/>
      <c r="E123" s="773"/>
      <c r="F123" s="365" t="str">
        <f>+'Plan de Accion 2018'!R53</f>
        <v># Solicitudes Devolución Aportes REX Tramitadas / # Solicitudes Devolución Aportes Presentadas</v>
      </c>
      <c r="G123" s="387"/>
      <c r="H123" s="336">
        <f>+'Plan de Accion 2018'!AA53</f>
        <v>0.14883720930232558</v>
      </c>
      <c r="I123" s="337">
        <f>+'Plan de Accion 2018'!BL53</f>
        <v>0.59534883720930232</v>
      </c>
      <c r="J123" s="330">
        <f>+'Plan de Accion 2018'!AE53</f>
        <v>0.14883720930232558</v>
      </c>
      <c r="K123" s="344"/>
      <c r="L123" s="336">
        <f>+'Plan de Accion 2018'!AK53</f>
        <v>0</v>
      </c>
      <c r="M123" s="337">
        <f>+'Plan de Accion 2018'!BN53</f>
        <v>0</v>
      </c>
      <c r="N123" s="338">
        <f>+'Plan de Accion 2018'!AO53</f>
        <v>0.14883720930232558</v>
      </c>
      <c r="O123" s="344"/>
      <c r="P123" s="336">
        <f>+'Plan de Accion 2018'!AU53</f>
        <v>0</v>
      </c>
      <c r="Q123" s="337">
        <f>+'Plan de Accion 2018'!BP53</f>
        <v>0</v>
      </c>
      <c r="R123" s="338">
        <f>+'Plan de Accion 2018'!AY53</f>
        <v>0.14883720930232558</v>
      </c>
      <c r="S123" s="344"/>
      <c r="T123" s="336">
        <f>+'Plan de Accion 2018'!BE53</f>
        <v>0</v>
      </c>
      <c r="U123" s="337">
        <f>+'Plan de Accion 2018'!BR53</f>
        <v>0</v>
      </c>
      <c r="V123" s="338">
        <f>+'Plan de Accion 2018'!BI53</f>
        <v>0.14883720930232558</v>
      </c>
      <c r="W123" s="360"/>
      <c r="X123" s="372"/>
      <c r="Y123" s="362"/>
      <c r="Z123" s="362"/>
      <c r="AA123" s="326"/>
      <c r="AB123" s="363"/>
      <c r="AC123" s="362"/>
      <c r="AD123" s="326"/>
      <c r="AE123" s="362"/>
      <c r="AF123" s="362"/>
      <c r="AG123" s="326"/>
      <c r="AH123" s="362"/>
      <c r="AI123" s="362"/>
      <c r="AJ123" s="334"/>
      <c r="AK123" s="359"/>
      <c r="AL123" s="376"/>
      <c r="AM123" s="362"/>
      <c r="AN123" s="362"/>
      <c r="AO123" s="326"/>
      <c r="AP123" s="363"/>
      <c r="AQ123" s="362"/>
      <c r="AR123" s="326"/>
      <c r="AS123" s="362"/>
      <c r="AT123" s="362"/>
      <c r="AU123" s="326"/>
      <c r="AV123" s="362"/>
      <c r="AW123" s="362"/>
      <c r="AX123" s="334"/>
      <c r="AY123" s="359"/>
      <c r="BA123" s="362"/>
      <c r="BB123" s="362"/>
      <c r="BC123" s="326"/>
      <c r="BD123" s="363"/>
      <c r="BE123" s="362"/>
      <c r="BF123" s="326"/>
      <c r="BG123" s="362"/>
      <c r="BH123" s="362"/>
      <c r="BI123" s="326"/>
      <c r="BJ123" s="362"/>
      <c r="BK123" s="362"/>
      <c r="BL123" s="334"/>
      <c r="BM123" s="359"/>
      <c r="BO123" s="362"/>
      <c r="BP123" s="362"/>
      <c r="BQ123" s="326"/>
      <c r="BR123" s="363"/>
      <c r="BS123" s="362"/>
      <c r="BT123" s="326"/>
      <c r="BU123" s="362"/>
      <c r="BV123" s="362"/>
      <c r="BW123" s="326"/>
      <c r="BX123" s="362"/>
      <c r="BY123" s="362"/>
      <c r="BZ123" s="334"/>
      <c r="CA123" s="359"/>
    </row>
    <row r="124" spans="2:79" ht="57" x14ac:dyDescent="0.25">
      <c r="B124" s="848"/>
      <c r="C124" s="812"/>
      <c r="D124" s="339" t="str">
        <f>+'Plan de Accion 2018'!F54</f>
        <v>Solicitudes de aclaración sobre apropiaciones sin justa causa</v>
      </c>
      <c r="E124" s="773"/>
      <c r="F124" s="365" t="str">
        <f>+'Plan de Accion 2018'!R54</f>
        <v># solicitudes de aclaración elaboradas/# EPS con hallazgos de apropiación sin justa causa</v>
      </c>
      <c r="G124" s="387"/>
      <c r="H124" s="336">
        <f>+'Plan de Accion 2018'!AA54</f>
        <v>0.25</v>
      </c>
      <c r="I124" s="337">
        <f>+'Plan de Accion 2018'!BL54</f>
        <v>1</v>
      </c>
      <c r="J124" s="330">
        <f>+'Plan de Accion 2018'!AE54</f>
        <v>0.25</v>
      </c>
      <c r="K124" s="344"/>
      <c r="L124" s="336">
        <f>+'Plan de Accion 2018'!AK54</f>
        <v>0</v>
      </c>
      <c r="M124" s="337">
        <f>+'Plan de Accion 2018'!BN54</f>
        <v>0</v>
      </c>
      <c r="N124" s="338">
        <f>+'Plan de Accion 2018'!AO54</f>
        <v>0.25</v>
      </c>
      <c r="O124" s="344"/>
      <c r="P124" s="336">
        <f>+'Plan de Accion 2018'!AU54</f>
        <v>0</v>
      </c>
      <c r="Q124" s="337">
        <f>+'Plan de Accion 2018'!BP54</f>
        <v>0</v>
      </c>
      <c r="R124" s="338">
        <f>+'Plan de Accion 2018'!AY54</f>
        <v>0.25</v>
      </c>
      <c r="S124" s="344"/>
      <c r="T124" s="336">
        <f>+'Plan de Accion 2018'!BE54</f>
        <v>0</v>
      </c>
      <c r="U124" s="337">
        <f>+'Plan de Accion 2018'!BR54</f>
        <v>0</v>
      </c>
      <c r="V124" s="338">
        <f>+'Plan de Accion 2018'!BI54</f>
        <v>0.25</v>
      </c>
      <c r="W124" s="356"/>
      <c r="X124" s="372"/>
      <c r="Y124" s="362"/>
      <c r="Z124" s="362"/>
      <c r="AA124" s="326"/>
      <c r="AB124" s="363"/>
      <c r="AC124" s="362"/>
      <c r="AD124" s="326"/>
      <c r="AE124" s="362"/>
      <c r="AF124" s="362"/>
      <c r="AG124" s="326"/>
      <c r="AH124" s="362"/>
      <c r="AI124" s="362"/>
      <c r="AJ124" s="334"/>
      <c r="AK124" s="359"/>
      <c r="AL124" s="376"/>
      <c r="AM124" s="362"/>
      <c r="AN124" s="362"/>
      <c r="AO124" s="326"/>
      <c r="AP124" s="363"/>
      <c r="AQ124" s="362"/>
      <c r="AR124" s="326"/>
      <c r="AS124" s="362"/>
      <c r="AT124" s="362"/>
      <c r="AU124" s="326"/>
      <c r="AV124" s="362"/>
      <c r="AW124" s="362"/>
      <c r="AX124" s="334"/>
      <c r="AY124" s="359"/>
      <c r="BA124" s="362"/>
      <c r="BB124" s="362"/>
      <c r="BC124" s="326"/>
      <c r="BD124" s="363"/>
      <c r="BE124" s="362"/>
      <c r="BF124" s="326"/>
      <c r="BG124" s="362"/>
      <c r="BH124" s="362"/>
      <c r="BI124" s="326"/>
      <c r="BJ124" s="362"/>
      <c r="BK124" s="362"/>
      <c r="BL124" s="334"/>
      <c r="BM124" s="359"/>
      <c r="BO124" s="362"/>
      <c r="BP124" s="362"/>
      <c r="BQ124" s="326"/>
      <c r="BR124" s="363"/>
      <c r="BS124" s="362"/>
      <c r="BT124" s="326"/>
      <c r="BU124" s="362"/>
      <c r="BV124" s="362"/>
      <c r="BW124" s="326"/>
      <c r="BX124" s="362"/>
      <c r="BY124" s="362"/>
      <c r="BZ124" s="334"/>
      <c r="CA124" s="359"/>
    </row>
    <row r="125" spans="2:79" ht="71.25" x14ac:dyDescent="0.25">
      <c r="B125" s="848"/>
      <c r="C125" s="812"/>
      <c r="D125" s="339" t="str">
        <f>+'Plan de Accion 2018'!F55</f>
        <v>Informes de auditoría de reintegro de recursos</v>
      </c>
      <c r="E125" s="773"/>
      <c r="F125" s="365" t="str">
        <f>+'Plan de Accion 2018'!R55</f>
        <v># Informes de Auditoría de Reintegro Elaborados / # EPS con Procedimiento de Reintegro de Recursos Iniciado</v>
      </c>
      <c r="G125" s="387"/>
      <c r="H125" s="336">
        <f>+'Plan de Accion 2018'!AA55</f>
        <v>0</v>
      </c>
      <c r="I125" s="337">
        <f>+'Plan de Accion 2018'!BL55</f>
        <v>0</v>
      </c>
      <c r="J125" s="330">
        <f>+'Plan de Accion 2018'!AE55</f>
        <v>0</v>
      </c>
      <c r="K125" s="344"/>
      <c r="L125" s="336">
        <f>+'Plan de Accion 2018'!AK55</f>
        <v>0</v>
      </c>
      <c r="M125" s="337">
        <f>+'Plan de Accion 2018'!BN55</f>
        <v>0</v>
      </c>
      <c r="N125" s="338">
        <f>+'Plan de Accion 2018'!AO55</f>
        <v>0</v>
      </c>
      <c r="O125" s="344"/>
      <c r="P125" s="336">
        <f>+'Plan de Accion 2018'!AU55</f>
        <v>0</v>
      </c>
      <c r="Q125" s="337">
        <f>+'Plan de Accion 2018'!BP55</f>
        <v>0</v>
      </c>
      <c r="R125" s="338">
        <f>+'Plan de Accion 2018'!AY55</f>
        <v>0</v>
      </c>
      <c r="S125" s="344"/>
      <c r="T125" s="336">
        <f>+'Plan de Accion 2018'!BE55</f>
        <v>0</v>
      </c>
      <c r="U125" s="337">
        <f>+'Plan de Accion 2018'!BR55</f>
        <v>0</v>
      </c>
      <c r="V125" s="338">
        <f>+'Plan de Accion 2018'!BI55</f>
        <v>0</v>
      </c>
      <c r="W125" s="358"/>
      <c r="X125" s="372"/>
      <c r="Y125" s="362"/>
      <c r="Z125" s="362"/>
      <c r="AA125" s="326"/>
      <c r="AB125" s="363"/>
      <c r="AC125" s="362"/>
      <c r="AD125" s="326"/>
      <c r="AE125" s="362"/>
      <c r="AF125" s="362"/>
      <c r="AG125" s="326"/>
      <c r="AH125" s="362"/>
      <c r="AI125" s="362"/>
      <c r="AJ125" s="334"/>
      <c r="AK125" s="359"/>
      <c r="AL125" s="376"/>
      <c r="AM125" s="362"/>
      <c r="AN125" s="362"/>
      <c r="AO125" s="326"/>
      <c r="AP125" s="363"/>
      <c r="AQ125" s="362"/>
      <c r="AR125" s="326"/>
      <c r="AS125" s="362"/>
      <c r="AT125" s="362"/>
      <c r="AU125" s="326"/>
      <c r="AV125" s="362"/>
      <c r="AW125" s="362"/>
      <c r="AX125" s="334"/>
      <c r="AY125" s="359"/>
      <c r="BA125" s="362"/>
      <c r="BB125" s="362"/>
      <c r="BC125" s="326"/>
      <c r="BD125" s="363"/>
      <c r="BE125" s="362"/>
      <c r="BF125" s="326"/>
      <c r="BG125" s="362"/>
      <c r="BH125" s="362"/>
      <c r="BI125" s="326"/>
      <c r="BJ125" s="362"/>
      <c r="BK125" s="362"/>
      <c r="BL125" s="334"/>
      <c r="BM125" s="359"/>
      <c r="BO125" s="362"/>
      <c r="BP125" s="362"/>
      <c r="BQ125" s="326"/>
      <c r="BR125" s="363"/>
      <c r="BS125" s="362"/>
      <c r="BT125" s="326"/>
      <c r="BU125" s="362"/>
      <c r="BV125" s="362"/>
      <c r="BW125" s="326"/>
      <c r="BX125" s="362"/>
      <c r="BY125" s="362"/>
      <c r="BZ125" s="334"/>
      <c r="CA125" s="359"/>
    </row>
    <row r="126" spans="2:79" ht="100.5" thickBot="1" x14ac:dyDescent="0.3">
      <c r="B126" s="848"/>
      <c r="C126" s="812"/>
      <c r="D126" s="339" t="str">
        <f>+'Plan de Accion 2018'!F56</f>
        <v>Informes de comunicaciones con las conclusiones de la auditoría de reintegro de recursos enviados a la SNS</v>
      </c>
      <c r="E126" s="773"/>
      <c r="F126" s="365" t="str">
        <f>+'Plan de Accion 2018'!R56</f>
        <v xml:space="preserve"># Comunicaciones con las conclusiones del procedimiento de la auditoría de reintegro de recursos elaborados/ # EPS con hallazgos de apropiación sin justa causa </v>
      </c>
      <c r="G126" s="387"/>
      <c r="H126" s="336">
        <f>+'Plan de Accion 2018'!AA56</f>
        <v>0.25</v>
      </c>
      <c r="I126" s="337">
        <f>+'Plan de Accion 2018'!BL56</f>
        <v>1</v>
      </c>
      <c r="J126" s="330">
        <f>+'Plan de Accion 2018'!AE56</f>
        <v>0.25</v>
      </c>
      <c r="K126" s="344"/>
      <c r="L126" s="336">
        <f>+'Plan de Accion 2018'!AK56</f>
        <v>0</v>
      </c>
      <c r="M126" s="337">
        <f>+'Plan de Accion 2018'!BN56</f>
        <v>0</v>
      </c>
      <c r="N126" s="338">
        <f>+'Plan de Accion 2018'!AO56</f>
        <v>0.25</v>
      </c>
      <c r="O126" s="344"/>
      <c r="P126" s="336">
        <f>+'Plan de Accion 2018'!AU56</f>
        <v>0</v>
      </c>
      <c r="Q126" s="337">
        <f>+'Plan de Accion 2018'!BP56</f>
        <v>0</v>
      </c>
      <c r="R126" s="338">
        <f>+'Plan de Accion 2018'!AY56</f>
        <v>0.25</v>
      </c>
      <c r="S126" s="344"/>
      <c r="T126" s="336">
        <f>+'Plan de Accion 2018'!BE56</f>
        <v>0</v>
      </c>
      <c r="U126" s="337">
        <f>+'Plan de Accion 2018'!BR56</f>
        <v>0</v>
      </c>
      <c r="V126" s="338">
        <f>+'Plan de Accion 2018'!BI56</f>
        <v>0.25</v>
      </c>
      <c r="W126" s="360"/>
      <c r="X126" s="372"/>
      <c r="Y126" s="362"/>
      <c r="Z126" s="362"/>
      <c r="AA126" s="326"/>
      <c r="AB126" s="363"/>
      <c r="AC126" s="362"/>
      <c r="AD126" s="326"/>
      <c r="AE126" s="362"/>
      <c r="AF126" s="362"/>
      <c r="AG126" s="326"/>
      <c r="AH126" s="362"/>
      <c r="AI126" s="362"/>
      <c r="AJ126" s="334"/>
      <c r="AK126" s="359"/>
      <c r="AL126" s="376"/>
      <c r="AM126" s="362"/>
      <c r="AN126" s="362"/>
      <c r="AO126" s="326"/>
      <c r="AP126" s="363"/>
      <c r="AQ126" s="362"/>
      <c r="AR126" s="326"/>
      <c r="AS126" s="362"/>
      <c r="AT126" s="362"/>
      <c r="AU126" s="326"/>
      <c r="AV126" s="362"/>
      <c r="AW126" s="362"/>
      <c r="AX126" s="334"/>
      <c r="AY126" s="359"/>
      <c r="BA126" s="362"/>
      <c r="BB126" s="362"/>
      <c r="BC126" s="326"/>
      <c r="BD126" s="363"/>
      <c r="BE126" s="362"/>
      <c r="BF126" s="326"/>
      <c r="BG126" s="362"/>
      <c r="BH126" s="362"/>
      <c r="BI126" s="326"/>
      <c r="BJ126" s="362"/>
      <c r="BK126" s="362"/>
      <c r="BL126" s="334"/>
      <c r="BM126" s="359"/>
      <c r="BO126" s="362"/>
      <c r="BP126" s="362"/>
      <c r="BQ126" s="326"/>
      <c r="BR126" s="363"/>
      <c r="BS126" s="362"/>
      <c r="BT126" s="326"/>
      <c r="BU126" s="362"/>
      <c r="BV126" s="362"/>
      <c r="BW126" s="326"/>
      <c r="BX126" s="362"/>
      <c r="BY126" s="362"/>
      <c r="BZ126" s="334"/>
      <c r="CA126" s="359"/>
    </row>
    <row r="127" spans="2:79" ht="57" x14ac:dyDescent="0.25">
      <c r="B127" s="848"/>
      <c r="C127" s="812"/>
      <c r="D127" s="339" t="str">
        <f>+'Plan de Accion 2018'!F57</f>
        <v>Saldos a favor de ADRES en el proceso LMA</v>
      </c>
      <c r="E127" s="773"/>
      <c r="F127" s="365" t="str">
        <f>+'Plan de Accion 2018'!R57</f>
        <v># Solicitudes de Aclaración Enviadas a las EPS / EPS con Saldos a Favor de ADRES en el Proceso de LMA</v>
      </c>
      <c r="G127" s="387"/>
      <c r="H127" s="336">
        <f>+'Plan de Accion 2018'!AA57</f>
        <v>0.25</v>
      </c>
      <c r="I127" s="337">
        <f>+'Plan de Accion 2018'!BL57</f>
        <v>1</v>
      </c>
      <c r="J127" s="330">
        <f>+'Plan de Accion 2018'!AE57</f>
        <v>0.25</v>
      </c>
      <c r="K127" s="344"/>
      <c r="L127" s="336">
        <f>+'Plan de Accion 2018'!AK57</f>
        <v>0</v>
      </c>
      <c r="M127" s="337">
        <f>+'Plan de Accion 2018'!BN57</f>
        <v>0</v>
      </c>
      <c r="N127" s="338">
        <f>+'Plan de Accion 2018'!AO57</f>
        <v>0.25</v>
      </c>
      <c r="O127" s="344"/>
      <c r="P127" s="336">
        <f>+'Plan de Accion 2018'!AU57</f>
        <v>0</v>
      </c>
      <c r="Q127" s="337">
        <f>+'Plan de Accion 2018'!BP57</f>
        <v>0</v>
      </c>
      <c r="R127" s="338">
        <f>+'Plan de Accion 2018'!AY57</f>
        <v>0.25</v>
      </c>
      <c r="S127" s="344"/>
      <c r="T127" s="336">
        <f>+'Plan de Accion 2018'!BE57</f>
        <v>0</v>
      </c>
      <c r="U127" s="337">
        <f>+'Plan de Accion 2018'!BR57</f>
        <v>0</v>
      </c>
      <c r="V127" s="338">
        <f>+'Plan de Accion 2018'!BI57</f>
        <v>0.25</v>
      </c>
      <c r="W127" s="356"/>
      <c r="X127" s="372"/>
      <c r="Y127" s="362"/>
      <c r="Z127" s="362"/>
      <c r="AA127" s="326"/>
      <c r="AB127" s="363"/>
      <c r="AC127" s="362"/>
      <c r="AD127" s="326"/>
      <c r="AE127" s="362"/>
      <c r="AF127" s="362"/>
      <c r="AG127" s="326"/>
      <c r="AH127" s="362"/>
      <c r="AI127" s="362"/>
      <c r="AJ127" s="334"/>
      <c r="AK127" s="359"/>
      <c r="AL127" s="376"/>
      <c r="AM127" s="362"/>
      <c r="AN127" s="362"/>
      <c r="AO127" s="326"/>
      <c r="AP127" s="363"/>
      <c r="AQ127" s="362"/>
      <c r="AR127" s="326"/>
      <c r="AS127" s="362"/>
      <c r="AT127" s="362"/>
      <c r="AU127" s="326"/>
      <c r="AV127" s="362"/>
      <c r="AW127" s="362"/>
      <c r="AX127" s="334"/>
      <c r="AY127" s="359"/>
      <c r="BA127" s="362"/>
      <c r="BB127" s="362"/>
      <c r="BC127" s="326"/>
      <c r="BD127" s="363"/>
      <c r="BE127" s="362"/>
      <c r="BF127" s="326"/>
      <c r="BG127" s="362"/>
      <c r="BH127" s="362"/>
      <c r="BI127" s="326"/>
      <c r="BJ127" s="362"/>
      <c r="BK127" s="362"/>
      <c r="BL127" s="334"/>
      <c r="BM127" s="359"/>
      <c r="BO127" s="362"/>
      <c r="BP127" s="362"/>
      <c r="BQ127" s="326"/>
      <c r="BR127" s="363"/>
      <c r="BS127" s="362"/>
      <c r="BT127" s="326"/>
      <c r="BU127" s="362"/>
      <c r="BV127" s="362"/>
      <c r="BW127" s="326"/>
      <c r="BX127" s="362"/>
      <c r="BY127" s="362"/>
      <c r="BZ127" s="334"/>
      <c r="CA127" s="359"/>
    </row>
    <row r="128" spans="2:79" ht="42.75" x14ac:dyDescent="0.25">
      <c r="B128" s="848"/>
      <c r="C128" s="812"/>
      <c r="D128" s="339" t="str">
        <f>+'Plan de Accion 2018'!F58</f>
        <v>Compra Directa de Cartera</v>
      </c>
      <c r="E128" s="773"/>
      <c r="F128" s="365" t="str">
        <f>+'Plan de Accion 2018'!R58</f>
        <v># Compras de cartera realizadas/# Compras de carteras proyectadas</v>
      </c>
      <c r="G128" s="387"/>
      <c r="H128" s="404">
        <f>+'Plan de Accion 2018'!AA58</f>
        <v>0</v>
      </c>
      <c r="I128" s="405" t="str">
        <f>+'Plan de Accion 2018'!BL58</f>
        <v>No Prog ni Ejec</v>
      </c>
      <c r="J128" s="330">
        <f>+'Plan de Accion 2018'!AE58</f>
        <v>0</v>
      </c>
      <c r="K128" s="378"/>
      <c r="L128" s="404">
        <f>+'Plan de Accion 2018'!AK58</f>
        <v>0</v>
      </c>
      <c r="M128" s="405" t="str">
        <f>+'Plan de Accion 2018'!BN58</f>
        <v>No Prog ni Ejec</v>
      </c>
      <c r="N128" s="406">
        <f>+'Plan de Accion 2018'!AO58</f>
        <v>0</v>
      </c>
      <c r="O128" s="378"/>
      <c r="P128" s="404">
        <f>+'Plan de Accion 2018'!AU58</f>
        <v>0</v>
      </c>
      <c r="Q128" s="405" t="str">
        <f>+'Plan de Accion 2018'!BP58</f>
        <v>No Prog ni Ejec</v>
      </c>
      <c r="R128" s="406">
        <f>+'Plan de Accion 2018'!AY58</f>
        <v>0</v>
      </c>
      <c r="S128" s="378"/>
      <c r="T128" s="404">
        <f>+'Plan de Accion 2018'!BE58</f>
        <v>0</v>
      </c>
      <c r="U128" s="405">
        <f>+'Plan de Accion 2018'!BR58</f>
        <v>0</v>
      </c>
      <c r="V128" s="406">
        <f>+'Plan de Accion 2018'!BI58</f>
        <v>0</v>
      </c>
      <c r="W128" s="358"/>
      <c r="X128" s="372"/>
      <c r="Y128" s="362"/>
      <c r="Z128" s="362"/>
      <c r="AA128" s="326"/>
      <c r="AB128" s="363"/>
      <c r="AC128" s="362"/>
      <c r="AD128" s="326"/>
      <c r="AE128" s="362"/>
      <c r="AF128" s="362"/>
      <c r="AG128" s="326"/>
      <c r="AH128" s="362"/>
      <c r="AI128" s="362"/>
      <c r="AJ128" s="334"/>
      <c r="AK128" s="359"/>
      <c r="AL128" s="376"/>
      <c r="AM128" s="362"/>
      <c r="AN128" s="362"/>
      <c r="AO128" s="326"/>
      <c r="AP128" s="363"/>
      <c r="AQ128" s="362"/>
      <c r="AR128" s="326"/>
      <c r="AS128" s="362"/>
      <c r="AT128" s="362"/>
      <c r="AU128" s="326"/>
      <c r="AV128" s="362"/>
      <c r="AW128" s="362"/>
      <c r="AX128" s="334"/>
      <c r="AY128" s="359"/>
      <c r="BA128" s="362"/>
      <c r="BB128" s="362"/>
      <c r="BC128" s="326"/>
      <c r="BD128" s="363"/>
      <c r="BE128" s="362"/>
      <c r="BF128" s="326"/>
      <c r="BG128" s="362"/>
      <c r="BH128" s="362"/>
      <c r="BI128" s="326"/>
      <c r="BJ128" s="362"/>
      <c r="BK128" s="362"/>
      <c r="BL128" s="334"/>
      <c r="BM128" s="359"/>
      <c r="BO128" s="362"/>
      <c r="BP128" s="362"/>
      <c r="BQ128" s="326"/>
      <c r="BR128" s="363"/>
      <c r="BS128" s="362"/>
      <c r="BT128" s="326"/>
      <c r="BU128" s="362"/>
      <c r="BV128" s="362"/>
      <c r="BW128" s="326"/>
      <c r="BX128" s="362"/>
      <c r="BY128" s="362"/>
      <c r="BZ128" s="334"/>
      <c r="CA128" s="359"/>
    </row>
    <row r="129" spans="2:79" ht="54.95" customHeight="1" thickBot="1" x14ac:dyDescent="0.3">
      <c r="B129" s="848"/>
      <c r="C129" s="812"/>
      <c r="D129" s="339" t="str">
        <f>+'Plan de Accion 2018'!F59</f>
        <v>Certificación descuento proceso LMA - Findeter línea compensada</v>
      </c>
      <c r="E129" s="773"/>
      <c r="F129" s="365" t="str">
        <f>+'Plan de Accion 2018'!R59</f>
        <v># Certificaciones remitidas/# Certificaciones proyectadas de acuerdo con el # de procesos en los que sea necesario aplicar</v>
      </c>
      <c r="G129" s="387"/>
      <c r="H129" s="336">
        <f>+'Plan de Accion 2018'!AA59</f>
        <v>0.25</v>
      </c>
      <c r="I129" s="337">
        <f>+'Plan de Accion 2018'!BL59</f>
        <v>1</v>
      </c>
      <c r="J129" s="330">
        <f>+'Plan de Accion 2018'!AE59</f>
        <v>0.25</v>
      </c>
      <c r="K129" s="344"/>
      <c r="L129" s="336">
        <f>+'Plan de Accion 2018'!AK59</f>
        <v>0</v>
      </c>
      <c r="M129" s="337">
        <f>+'Plan de Accion 2018'!BN59</f>
        <v>0</v>
      </c>
      <c r="N129" s="338">
        <f>+'Plan de Accion 2018'!AO59</f>
        <v>0.25</v>
      </c>
      <c r="O129" s="344"/>
      <c r="P129" s="336">
        <f>+'Plan de Accion 2018'!AU59</f>
        <v>0</v>
      </c>
      <c r="Q129" s="337">
        <f>+'Plan de Accion 2018'!BP59</f>
        <v>0</v>
      </c>
      <c r="R129" s="338">
        <f>+'Plan de Accion 2018'!AY59</f>
        <v>0.25</v>
      </c>
      <c r="S129" s="344"/>
      <c r="T129" s="336">
        <f>+'Plan de Accion 2018'!BE59</f>
        <v>0</v>
      </c>
      <c r="U129" s="337">
        <f>+'Plan de Accion 2018'!BR59</f>
        <v>0</v>
      </c>
      <c r="V129" s="338">
        <f>+'Plan de Accion 2018'!BI59</f>
        <v>0.25</v>
      </c>
      <c r="W129" s="360"/>
      <c r="X129" s="372"/>
      <c r="Y129" s="362"/>
      <c r="Z129" s="362"/>
      <c r="AA129" s="326"/>
      <c r="AB129" s="363"/>
      <c r="AC129" s="362"/>
      <c r="AD129" s="326"/>
      <c r="AE129" s="362"/>
      <c r="AF129" s="362"/>
      <c r="AG129" s="326"/>
      <c r="AH129" s="362"/>
      <c r="AI129" s="362"/>
      <c r="AJ129" s="334"/>
      <c r="AK129" s="359"/>
      <c r="AL129" s="376"/>
      <c r="AM129" s="362"/>
      <c r="AN129" s="362"/>
      <c r="AO129" s="326"/>
      <c r="AP129" s="363"/>
      <c r="AQ129" s="362"/>
      <c r="AR129" s="326"/>
      <c r="AS129" s="362"/>
      <c r="AT129" s="362"/>
      <c r="AU129" s="326"/>
      <c r="AV129" s="362"/>
      <c r="AW129" s="362"/>
      <c r="AX129" s="334"/>
      <c r="AY129" s="359"/>
      <c r="BA129" s="362"/>
      <c r="BB129" s="362"/>
      <c r="BC129" s="326"/>
      <c r="BD129" s="363"/>
      <c r="BE129" s="362"/>
      <c r="BF129" s="326"/>
      <c r="BG129" s="362"/>
      <c r="BH129" s="362"/>
      <c r="BI129" s="326"/>
      <c r="BJ129" s="362"/>
      <c r="BK129" s="362"/>
      <c r="BL129" s="334"/>
      <c r="BM129" s="359"/>
      <c r="BO129" s="362"/>
      <c r="BP129" s="362"/>
      <c r="BQ129" s="326"/>
      <c r="BR129" s="363"/>
      <c r="BS129" s="362"/>
      <c r="BT129" s="326"/>
      <c r="BU129" s="362"/>
      <c r="BV129" s="362"/>
      <c r="BW129" s="326"/>
      <c r="BX129" s="362"/>
      <c r="BY129" s="362"/>
      <c r="BZ129" s="334"/>
      <c r="CA129" s="359"/>
    </row>
    <row r="130" spans="2:79" ht="71.25" x14ac:dyDescent="0.25">
      <c r="B130" s="848"/>
      <c r="C130" s="812"/>
      <c r="D130" s="339" t="str">
        <f>+'Plan de Accion 2018'!F60</f>
        <v>Certificación descuento proceso de compensación - Findeter línea compensada</v>
      </c>
      <c r="E130" s="773"/>
      <c r="F130" s="365" t="str">
        <f>+'Plan de Accion 2018'!R60</f>
        <v># Certificaciones remitidas/# Certificaciones proyectadas de acuerdo con el # de procesos en los que sea necesario aplicar</v>
      </c>
      <c r="G130" s="387"/>
      <c r="H130" s="336">
        <f>+'Plan de Accion 2018'!AA60</f>
        <v>0.25</v>
      </c>
      <c r="I130" s="337">
        <f>+'Plan de Accion 2018'!BL60</f>
        <v>1</v>
      </c>
      <c r="J130" s="330">
        <f>+'Plan de Accion 2018'!AE60</f>
        <v>0.25</v>
      </c>
      <c r="K130" s="344"/>
      <c r="L130" s="336">
        <f>+'Plan de Accion 2018'!AK60</f>
        <v>0</v>
      </c>
      <c r="M130" s="337">
        <f>+'Plan de Accion 2018'!BN60</f>
        <v>0</v>
      </c>
      <c r="N130" s="338">
        <f>+'Plan de Accion 2018'!AO60</f>
        <v>0.25</v>
      </c>
      <c r="O130" s="344"/>
      <c r="P130" s="336">
        <f>+'Plan de Accion 2018'!AU60</f>
        <v>0</v>
      </c>
      <c r="Q130" s="337">
        <f>+'Plan de Accion 2018'!BP60</f>
        <v>0</v>
      </c>
      <c r="R130" s="338">
        <f>+'Plan de Accion 2018'!AY60</f>
        <v>0.25</v>
      </c>
      <c r="S130" s="344"/>
      <c r="T130" s="336">
        <f>+'Plan de Accion 2018'!BE60</f>
        <v>0</v>
      </c>
      <c r="U130" s="337">
        <f>+'Plan de Accion 2018'!BR60</f>
        <v>0</v>
      </c>
      <c r="V130" s="338">
        <f>+'Plan de Accion 2018'!BI60</f>
        <v>0.25</v>
      </c>
      <c r="W130" s="407"/>
      <c r="X130" s="372"/>
      <c r="Y130" s="363"/>
      <c r="Z130" s="364"/>
      <c r="AA130" s="326"/>
      <c r="AB130" s="363"/>
      <c r="AC130" s="364"/>
      <c r="AD130" s="326"/>
      <c r="AE130" s="363"/>
      <c r="AF130" s="364"/>
      <c r="AG130" s="326"/>
      <c r="AH130" s="363"/>
      <c r="AI130" s="364"/>
      <c r="AJ130" s="334"/>
      <c r="AK130" s="407"/>
      <c r="AL130" s="376"/>
      <c r="AM130" s="363"/>
      <c r="AN130" s="364"/>
      <c r="AO130" s="326"/>
      <c r="AP130" s="363"/>
      <c r="AQ130" s="364"/>
      <c r="AR130" s="326"/>
      <c r="AS130" s="363"/>
      <c r="AT130" s="364"/>
      <c r="AU130" s="326"/>
      <c r="AV130" s="363"/>
      <c r="AW130" s="364"/>
      <c r="AX130" s="334"/>
      <c r="AY130" s="407"/>
      <c r="BA130" s="363"/>
      <c r="BB130" s="364"/>
      <c r="BC130" s="326"/>
      <c r="BD130" s="363"/>
      <c r="BE130" s="364"/>
      <c r="BF130" s="326"/>
      <c r="BG130" s="363"/>
      <c r="BH130" s="364"/>
      <c r="BI130" s="326"/>
      <c r="BJ130" s="363"/>
      <c r="BK130" s="364"/>
      <c r="BL130" s="334"/>
      <c r="BM130" s="407"/>
      <c r="BO130" s="363"/>
      <c r="BP130" s="364"/>
      <c r="BQ130" s="326"/>
      <c r="BR130" s="363"/>
      <c r="BS130" s="364"/>
      <c r="BT130" s="326"/>
      <c r="BU130" s="363"/>
      <c r="BV130" s="364"/>
      <c r="BW130" s="326"/>
      <c r="BX130" s="363"/>
      <c r="BY130" s="364"/>
      <c r="BZ130" s="334"/>
      <c r="CA130" s="407"/>
    </row>
    <row r="131" spans="2:79" ht="71.25" x14ac:dyDescent="0.25">
      <c r="B131" s="848"/>
      <c r="C131" s="812"/>
      <c r="D131" s="339" t="str">
        <f>+'Plan de Accion 2018'!F61</f>
        <v>Certificación descuento proceso LMA - Compra de Cartera</v>
      </c>
      <c r="E131" s="773"/>
      <c r="F131" s="365" t="str">
        <f>+'Plan de Accion 2018'!R61</f>
        <v># Certificaciones remitidas/# Certificaciones proyectadas de acuerdo con el # de procesos en los que sea necesario aplicar</v>
      </c>
      <c r="G131" s="387"/>
      <c r="H131" s="336">
        <f>+'Plan de Accion 2018'!AA61</f>
        <v>0.25</v>
      </c>
      <c r="I131" s="337">
        <f>+'Plan de Accion 2018'!BL61</f>
        <v>1</v>
      </c>
      <c r="J131" s="330">
        <f>+'Plan de Accion 2018'!AE61</f>
        <v>0.25</v>
      </c>
      <c r="K131" s="344"/>
      <c r="L131" s="336">
        <f>+'Plan de Accion 2018'!AK61</f>
        <v>0</v>
      </c>
      <c r="M131" s="337">
        <f>+'Plan de Accion 2018'!BN61</f>
        <v>0</v>
      </c>
      <c r="N131" s="338">
        <f>+'Plan de Accion 2018'!AO61</f>
        <v>0.25</v>
      </c>
      <c r="O131" s="344"/>
      <c r="P131" s="336">
        <f>+'Plan de Accion 2018'!AU61</f>
        <v>0</v>
      </c>
      <c r="Q131" s="337">
        <f>+'Plan de Accion 2018'!BP61</f>
        <v>0</v>
      </c>
      <c r="R131" s="338">
        <f>+'Plan de Accion 2018'!AY61</f>
        <v>0.25</v>
      </c>
      <c r="S131" s="344"/>
      <c r="T131" s="336">
        <f>+'Plan de Accion 2018'!BE61</f>
        <v>0</v>
      </c>
      <c r="U131" s="337">
        <f>+'Plan de Accion 2018'!BR61</f>
        <v>0</v>
      </c>
      <c r="V131" s="338">
        <f>+'Plan de Accion 2018'!BI61</f>
        <v>0.25</v>
      </c>
      <c r="W131" s="407"/>
      <c r="X131" s="372"/>
      <c r="Y131" s="363"/>
      <c r="Z131" s="364"/>
      <c r="AA131" s="326"/>
      <c r="AB131" s="363"/>
      <c r="AC131" s="364"/>
      <c r="AD131" s="326"/>
      <c r="AE131" s="363"/>
      <c r="AF131" s="364"/>
      <c r="AG131" s="326"/>
      <c r="AH131" s="363"/>
      <c r="AI131" s="364"/>
      <c r="AJ131" s="334"/>
      <c r="AK131" s="407"/>
      <c r="AL131" s="376"/>
      <c r="AM131" s="363"/>
      <c r="AN131" s="364"/>
      <c r="AO131" s="326"/>
      <c r="AP131" s="363"/>
      <c r="AQ131" s="364"/>
      <c r="AR131" s="326"/>
      <c r="AS131" s="363"/>
      <c r="AT131" s="364"/>
      <c r="AU131" s="326"/>
      <c r="AV131" s="363"/>
      <c r="AW131" s="364"/>
      <c r="AX131" s="334"/>
      <c r="AY131" s="407"/>
      <c r="BA131" s="363"/>
      <c r="BB131" s="364"/>
      <c r="BC131" s="326"/>
      <c r="BD131" s="363"/>
      <c r="BE131" s="364"/>
      <c r="BF131" s="326"/>
      <c r="BG131" s="363"/>
      <c r="BH131" s="364"/>
      <c r="BI131" s="326"/>
      <c r="BJ131" s="363"/>
      <c r="BK131" s="364"/>
      <c r="BL131" s="334"/>
      <c r="BM131" s="407"/>
      <c r="BO131" s="363"/>
      <c r="BP131" s="364"/>
      <c r="BQ131" s="326"/>
      <c r="BR131" s="363"/>
      <c r="BS131" s="364"/>
      <c r="BT131" s="326"/>
      <c r="BU131" s="363"/>
      <c r="BV131" s="364"/>
      <c r="BW131" s="326"/>
      <c r="BX131" s="363"/>
      <c r="BY131" s="364"/>
      <c r="BZ131" s="334"/>
      <c r="CA131" s="407"/>
    </row>
    <row r="132" spans="2:79" ht="71.25" x14ac:dyDescent="0.25">
      <c r="B132" s="848"/>
      <c r="C132" s="812"/>
      <c r="D132" s="339" t="str">
        <f>+'Plan de Accion 2018'!F62</f>
        <v>Certificación descuento proceso de compensación - Compra de Cartera</v>
      </c>
      <c r="E132" s="773"/>
      <c r="F132" s="365" t="str">
        <f>+'Plan de Accion 2018'!R62</f>
        <v># Certificaciones remitidas/# Certificaciones proyectadas de acuerdo con el # de procesos en los que sea necesario aplicar</v>
      </c>
      <c r="G132" s="387"/>
      <c r="H132" s="336">
        <f>+'Plan de Accion 2018'!AA62</f>
        <v>0.25</v>
      </c>
      <c r="I132" s="337">
        <f>+'Plan de Accion 2018'!BL62</f>
        <v>1</v>
      </c>
      <c r="J132" s="330">
        <f>+'Plan de Accion 2018'!AE62</f>
        <v>0.25</v>
      </c>
      <c r="K132" s="344"/>
      <c r="L132" s="336">
        <f>+'Plan de Accion 2018'!AK62</f>
        <v>0</v>
      </c>
      <c r="M132" s="337">
        <f>+'Plan de Accion 2018'!BN62</f>
        <v>0</v>
      </c>
      <c r="N132" s="338">
        <f>+'Plan de Accion 2018'!AO62</f>
        <v>0.25</v>
      </c>
      <c r="O132" s="344"/>
      <c r="P132" s="336">
        <f>+'Plan de Accion 2018'!AU62</f>
        <v>0</v>
      </c>
      <c r="Q132" s="337">
        <f>+'Plan de Accion 2018'!BP62</f>
        <v>0</v>
      </c>
      <c r="R132" s="338">
        <f>+'Plan de Accion 2018'!AY62</f>
        <v>0.25</v>
      </c>
      <c r="S132" s="344"/>
      <c r="T132" s="336">
        <f>+'Plan de Accion 2018'!BE62</f>
        <v>0</v>
      </c>
      <c r="U132" s="337">
        <f>+'Plan de Accion 2018'!BR62</f>
        <v>0</v>
      </c>
      <c r="V132" s="338">
        <f>+'Plan de Accion 2018'!BI62</f>
        <v>0.25</v>
      </c>
      <c r="W132" s="407"/>
      <c r="X132" s="372"/>
      <c r="Y132" s="363"/>
      <c r="Z132" s="364"/>
      <c r="AA132" s="326"/>
      <c r="AB132" s="363"/>
      <c r="AC132" s="364"/>
      <c r="AD132" s="326"/>
      <c r="AE132" s="363"/>
      <c r="AF132" s="364"/>
      <c r="AG132" s="326"/>
      <c r="AH132" s="363"/>
      <c r="AI132" s="364"/>
      <c r="AJ132" s="334"/>
      <c r="AK132" s="407"/>
      <c r="AL132" s="376"/>
      <c r="AM132" s="363"/>
      <c r="AN132" s="364"/>
      <c r="AO132" s="326"/>
      <c r="AP132" s="363"/>
      <c r="AQ132" s="364"/>
      <c r="AR132" s="326"/>
      <c r="AS132" s="363"/>
      <c r="AT132" s="364"/>
      <c r="AU132" s="326"/>
      <c r="AV132" s="363"/>
      <c r="AW132" s="364"/>
      <c r="AX132" s="334"/>
      <c r="AY132" s="407"/>
      <c r="BA132" s="363"/>
      <c r="BB132" s="364"/>
      <c r="BC132" s="326"/>
      <c r="BD132" s="363"/>
      <c r="BE132" s="364"/>
      <c r="BF132" s="326"/>
      <c r="BG132" s="363"/>
      <c r="BH132" s="364"/>
      <c r="BI132" s="326"/>
      <c r="BJ132" s="363"/>
      <c r="BK132" s="364"/>
      <c r="BL132" s="334"/>
      <c r="BM132" s="407"/>
      <c r="BO132" s="363"/>
      <c r="BP132" s="364"/>
      <c r="BQ132" s="326"/>
      <c r="BR132" s="363"/>
      <c r="BS132" s="364"/>
      <c r="BT132" s="326"/>
      <c r="BU132" s="363"/>
      <c r="BV132" s="364"/>
      <c r="BW132" s="326"/>
      <c r="BX132" s="363"/>
      <c r="BY132" s="364"/>
      <c r="BZ132" s="334"/>
      <c r="CA132" s="407"/>
    </row>
    <row r="133" spans="2:79" ht="71.25" x14ac:dyDescent="0.25">
      <c r="B133" s="848"/>
      <c r="C133" s="812"/>
      <c r="D133" s="339" t="str">
        <f>+'Plan de Accion 2018'!F67</f>
        <v>Proceso de Giro Previo realizado a favor de las entidades recobrantes y proveedores servicios y tecnologías no incluidas en el PB con cargo a la UPC</v>
      </c>
      <c r="E133" s="773" t="str">
        <f>+'Plan de Accion 2018'!B67</f>
        <v xml:space="preserve">Dirección de Otras Prestaciones  </v>
      </c>
      <c r="F133" s="365" t="str">
        <f>+'Plan de Accion 2018'!R67</f>
        <v xml:space="preserve"># Procesos de Ordenación de gasto del Giro previo </v>
      </c>
      <c r="G133" s="387"/>
      <c r="H133" s="408">
        <f>+'Plan de Accion 2018'!AA67</f>
        <v>3</v>
      </c>
      <c r="I133" s="337">
        <f>+'Plan de Accion 2018'!BL67</f>
        <v>1</v>
      </c>
      <c r="J133" s="330">
        <f>+'Plan de Accion 2018'!AE67</f>
        <v>0.25</v>
      </c>
      <c r="K133" s="344"/>
      <c r="L133" s="336">
        <f>+'Plan de Accion 2018'!AK67</f>
        <v>0</v>
      </c>
      <c r="M133" s="337">
        <f>+'Plan de Accion 2018'!BN67</f>
        <v>0</v>
      </c>
      <c r="N133" s="338">
        <f>+'Plan de Accion 2018'!AO67</f>
        <v>0.25</v>
      </c>
      <c r="O133" s="344"/>
      <c r="P133" s="336">
        <f>+'Plan de Accion 2018'!AU67</f>
        <v>0</v>
      </c>
      <c r="Q133" s="337">
        <f>+'Plan de Accion 2018'!BP67</f>
        <v>0</v>
      </c>
      <c r="R133" s="338">
        <f>+'Plan de Accion 2018'!AY67</f>
        <v>0.25</v>
      </c>
      <c r="S133" s="344"/>
      <c r="T133" s="336">
        <f>+'Plan de Accion 2018'!BE67</f>
        <v>0</v>
      </c>
      <c r="U133" s="337">
        <f>+'Plan de Accion 2018'!BR67</f>
        <v>0</v>
      </c>
      <c r="V133" s="338">
        <f>+'Plan de Accion 2018'!BI67</f>
        <v>0.25</v>
      </c>
      <c r="W133" s="407"/>
      <c r="X133" s="372"/>
      <c r="Y133" s="363"/>
      <c r="Z133" s="364"/>
      <c r="AA133" s="326"/>
      <c r="AB133" s="363"/>
      <c r="AC133" s="364"/>
      <c r="AD133" s="326"/>
      <c r="AE133" s="363"/>
      <c r="AF133" s="364"/>
      <c r="AG133" s="326"/>
      <c r="AH133" s="363"/>
      <c r="AI133" s="364"/>
      <c r="AJ133" s="334"/>
      <c r="AK133" s="407"/>
      <c r="AL133" s="376"/>
      <c r="AM133" s="363"/>
      <c r="AN133" s="364"/>
      <c r="AO133" s="326"/>
      <c r="AP133" s="363"/>
      <c r="AQ133" s="364"/>
      <c r="AR133" s="326"/>
      <c r="AS133" s="363"/>
      <c r="AT133" s="364"/>
      <c r="AU133" s="326"/>
      <c r="AV133" s="363"/>
      <c r="AW133" s="364"/>
      <c r="AX133" s="334"/>
      <c r="AY133" s="407"/>
      <c r="BA133" s="363"/>
      <c r="BB133" s="364"/>
      <c r="BC133" s="326"/>
      <c r="BD133" s="363"/>
      <c r="BE133" s="364"/>
      <c r="BF133" s="326"/>
      <c r="BG133" s="363"/>
      <c r="BH133" s="364"/>
      <c r="BI133" s="326"/>
      <c r="BJ133" s="363"/>
      <c r="BK133" s="364"/>
      <c r="BL133" s="334"/>
      <c r="BM133" s="407"/>
      <c r="BO133" s="363"/>
      <c r="BP133" s="364"/>
      <c r="BQ133" s="326"/>
      <c r="BR133" s="363"/>
      <c r="BS133" s="364"/>
      <c r="BT133" s="326"/>
      <c r="BU133" s="363"/>
      <c r="BV133" s="364"/>
      <c r="BW133" s="326"/>
      <c r="BX133" s="363"/>
      <c r="BY133" s="364"/>
      <c r="BZ133" s="334"/>
      <c r="CA133" s="407"/>
    </row>
    <row r="134" spans="2:79" ht="99.75" customHeight="1" x14ac:dyDescent="0.25">
      <c r="B134" s="848"/>
      <c r="C134" s="812"/>
      <c r="D134" s="774" t="str">
        <f>+'Plan de Accion 2018'!F68</f>
        <v>Paquetes de recobros cuyo trámite de auditoría haya culminado, reconocidos y pagados por parte de ADRES.</v>
      </c>
      <c r="E134" s="773"/>
      <c r="F134" s="857" t="str">
        <f>+'Plan de Accion 2018'!R68</f>
        <v># De ordenaciones realizadas de paquetes de recobros MYT0102 con resultado de auditoría culminado/ # Paquetes MYT0102 cuyo tramite de auditoria haya culminado</v>
      </c>
      <c r="G134" s="387"/>
      <c r="H134" s="336">
        <f>+'Plan de Accion 2018'!AA68</f>
        <v>0.25</v>
      </c>
      <c r="I134" s="337">
        <f>+'Plan de Accion 2018'!BL68</f>
        <v>1</v>
      </c>
      <c r="J134" s="330">
        <f>+'Plan de Accion 2018'!AE68</f>
        <v>0.25</v>
      </c>
      <c r="K134" s="344"/>
      <c r="L134" s="336">
        <f>+'Plan de Accion 2018'!AK68</f>
        <v>0</v>
      </c>
      <c r="M134" s="337">
        <f>+'Plan de Accion 2018'!BN68</f>
        <v>0</v>
      </c>
      <c r="N134" s="338">
        <f>+'Plan de Accion 2018'!AO68</f>
        <v>0.25</v>
      </c>
      <c r="O134" s="344"/>
      <c r="P134" s="336">
        <f>+'Plan de Accion 2018'!AU68</f>
        <v>0</v>
      </c>
      <c r="Q134" s="337">
        <f>+'Plan de Accion 2018'!BP68</f>
        <v>0</v>
      </c>
      <c r="R134" s="338">
        <f>+'Plan de Accion 2018'!AY68</f>
        <v>0.25</v>
      </c>
      <c r="S134" s="344"/>
      <c r="T134" s="336">
        <f>+'Plan de Accion 2018'!BE68</f>
        <v>0</v>
      </c>
      <c r="U134" s="337">
        <f>+'Plan de Accion 2018'!BR68</f>
        <v>0</v>
      </c>
      <c r="V134" s="338">
        <f>+'Plan de Accion 2018'!BI68</f>
        <v>0.25</v>
      </c>
      <c r="W134" s="407"/>
      <c r="X134" s="372"/>
      <c r="Y134" s="363"/>
      <c r="Z134" s="364"/>
      <c r="AA134" s="326"/>
      <c r="AB134" s="363"/>
      <c r="AC134" s="364"/>
      <c r="AD134" s="326"/>
      <c r="AE134" s="363"/>
      <c r="AF134" s="364"/>
      <c r="AG134" s="326"/>
      <c r="AH134" s="363"/>
      <c r="AI134" s="364"/>
      <c r="AJ134" s="334"/>
      <c r="AK134" s="407"/>
      <c r="AL134" s="376"/>
      <c r="AM134" s="363"/>
      <c r="AN134" s="364"/>
      <c r="AO134" s="326"/>
      <c r="AP134" s="363"/>
      <c r="AQ134" s="364"/>
      <c r="AR134" s="326"/>
      <c r="AS134" s="363"/>
      <c r="AT134" s="364"/>
      <c r="AU134" s="326"/>
      <c r="AV134" s="363"/>
      <c r="AW134" s="364"/>
      <c r="AX134" s="334"/>
      <c r="AY134" s="407"/>
      <c r="BA134" s="363"/>
      <c r="BB134" s="364"/>
      <c r="BC134" s="326"/>
      <c r="BD134" s="363"/>
      <c r="BE134" s="364"/>
      <c r="BF134" s="326"/>
      <c r="BG134" s="363"/>
      <c r="BH134" s="364"/>
      <c r="BI134" s="326"/>
      <c r="BJ134" s="363"/>
      <c r="BK134" s="364"/>
      <c r="BL134" s="334"/>
      <c r="BM134" s="407"/>
      <c r="BO134" s="363"/>
      <c r="BP134" s="364"/>
      <c r="BQ134" s="326"/>
      <c r="BR134" s="363"/>
      <c r="BS134" s="364"/>
      <c r="BT134" s="326"/>
      <c r="BU134" s="363"/>
      <c r="BV134" s="364"/>
      <c r="BW134" s="326"/>
      <c r="BX134" s="363"/>
      <c r="BY134" s="364"/>
      <c r="BZ134" s="334"/>
      <c r="CA134" s="407"/>
    </row>
    <row r="135" spans="2:79" ht="19.5" x14ac:dyDescent="0.25">
      <c r="B135" s="848"/>
      <c r="C135" s="812"/>
      <c r="D135" s="778"/>
      <c r="E135" s="773"/>
      <c r="F135" s="833"/>
      <c r="G135" s="387"/>
      <c r="H135" s="336">
        <f>+'Plan de Accion 2018'!AA69</f>
        <v>0</v>
      </c>
      <c r="I135" s="337" t="str">
        <f>+'Plan de Accion 2018'!BL69</f>
        <v>No Prog ni Ejec</v>
      </c>
      <c r="J135" s="330">
        <f>+'Plan de Accion 2018'!AE69</f>
        <v>0</v>
      </c>
      <c r="K135" s="344"/>
      <c r="L135" s="336">
        <f>+'Plan de Accion 2018'!AK69</f>
        <v>0</v>
      </c>
      <c r="M135" s="337" t="str">
        <f>+'Plan de Accion 2018'!BN69</f>
        <v>No Prog ni Ejec</v>
      </c>
      <c r="N135" s="338">
        <f>+'Plan de Accion 2018'!AO69</f>
        <v>0</v>
      </c>
      <c r="O135" s="344"/>
      <c r="P135" s="336">
        <f>+'Plan de Accion 2018'!AU69</f>
        <v>0</v>
      </c>
      <c r="Q135" s="337" t="str">
        <f>+'Plan de Accion 2018'!BP69</f>
        <v>No Prog ni Ejec</v>
      </c>
      <c r="R135" s="338">
        <f>+'Plan de Accion 2018'!AY69</f>
        <v>0</v>
      </c>
      <c r="S135" s="344"/>
      <c r="T135" s="336">
        <f>+'Plan de Accion 2018'!BE69</f>
        <v>0</v>
      </c>
      <c r="U135" s="337">
        <f>+'Plan de Accion 2018'!BR69</f>
        <v>0</v>
      </c>
      <c r="V135" s="338">
        <f>+'Plan de Accion 2018'!BI69</f>
        <v>0</v>
      </c>
      <c r="W135" s="407"/>
      <c r="X135" s="372"/>
      <c r="Y135" s="449"/>
      <c r="Z135" s="364"/>
      <c r="AA135" s="326"/>
      <c r="AB135" s="449"/>
      <c r="AC135" s="364"/>
      <c r="AD135" s="326"/>
      <c r="AE135" s="449"/>
      <c r="AF135" s="364"/>
      <c r="AG135" s="326"/>
      <c r="AH135" s="449"/>
      <c r="AI135" s="364"/>
      <c r="AJ135" s="334"/>
      <c r="AK135" s="407"/>
      <c r="AL135" s="376"/>
      <c r="AM135" s="449"/>
      <c r="AN135" s="364"/>
      <c r="AO135" s="326"/>
      <c r="AP135" s="449"/>
      <c r="AQ135" s="364"/>
      <c r="AR135" s="326"/>
      <c r="AS135" s="449"/>
      <c r="AT135" s="364"/>
      <c r="AU135" s="326"/>
      <c r="AV135" s="449"/>
      <c r="AW135" s="364"/>
      <c r="AX135" s="334"/>
      <c r="AY135" s="407"/>
      <c r="BA135" s="449"/>
      <c r="BB135" s="364"/>
      <c r="BC135" s="326"/>
      <c r="BD135" s="449"/>
      <c r="BE135" s="364"/>
      <c r="BF135" s="326"/>
      <c r="BG135" s="449"/>
      <c r="BH135" s="364"/>
      <c r="BI135" s="326"/>
      <c r="BJ135" s="449"/>
      <c r="BK135" s="364"/>
      <c r="BL135" s="334"/>
      <c r="BM135" s="407"/>
      <c r="BO135" s="449"/>
      <c r="BP135" s="364"/>
      <c r="BQ135" s="326"/>
      <c r="BR135" s="449"/>
      <c r="BS135" s="364"/>
      <c r="BT135" s="326"/>
      <c r="BU135" s="449"/>
      <c r="BV135" s="364"/>
      <c r="BW135" s="326"/>
      <c r="BX135" s="449"/>
      <c r="BY135" s="364"/>
      <c r="BZ135" s="334"/>
      <c r="CA135" s="407"/>
    </row>
    <row r="136" spans="2:79" ht="28.5" x14ac:dyDescent="0.25">
      <c r="B136" s="848"/>
      <c r="C136" s="812"/>
      <c r="D136" s="339" t="str">
        <f>+'Plan de Accion 2018'!F70</f>
        <v>Giro Directo del giro previo publicados</v>
      </c>
      <c r="E136" s="773"/>
      <c r="F136" s="365" t="str">
        <f>+'Plan de Accion 2018'!R70</f>
        <v># publicaciones de Giros Directos efectuados</v>
      </c>
      <c r="G136" s="387"/>
      <c r="H136" s="336">
        <f>+'Plan de Accion 2018'!AA70</f>
        <v>1</v>
      </c>
      <c r="I136" s="337">
        <f>+'Plan de Accion 2018'!BL70</f>
        <v>0.33333333333333331</v>
      </c>
      <c r="J136" s="330">
        <f>+'Plan de Accion 2018'!AE70</f>
        <v>8.3333333333333329E-2</v>
      </c>
      <c r="K136" s="344"/>
      <c r="L136" s="336">
        <f>+'Plan de Accion 2018'!AK70</f>
        <v>0</v>
      </c>
      <c r="M136" s="337">
        <f>+'Plan de Accion 2018'!BN70</f>
        <v>0</v>
      </c>
      <c r="N136" s="338">
        <f>+'Plan de Accion 2018'!AO70</f>
        <v>8.3333333333333329E-2</v>
      </c>
      <c r="O136" s="344"/>
      <c r="P136" s="336">
        <f>+'Plan de Accion 2018'!AU70</f>
        <v>0</v>
      </c>
      <c r="Q136" s="337">
        <f>+'Plan de Accion 2018'!BP70</f>
        <v>0</v>
      </c>
      <c r="R136" s="338">
        <f>+'Plan de Accion 2018'!AY70</f>
        <v>8.3333333333333329E-2</v>
      </c>
      <c r="S136" s="344"/>
      <c r="T136" s="336">
        <f>+'Plan de Accion 2018'!BE70</f>
        <v>0</v>
      </c>
      <c r="U136" s="337">
        <f>+'Plan de Accion 2018'!BR70</f>
        <v>0</v>
      </c>
      <c r="V136" s="338">
        <f>+'Plan de Accion 2018'!BI70</f>
        <v>8.3333333333333329E-2</v>
      </c>
      <c r="W136" s="407"/>
      <c r="X136" s="372"/>
      <c r="Y136" s="363"/>
      <c r="Z136" s="364"/>
      <c r="AA136" s="326"/>
      <c r="AB136" s="363"/>
      <c r="AC136" s="364"/>
      <c r="AD136" s="326"/>
      <c r="AE136" s="363"/>
      <c r="AF136" s="364"/>
      <c r="AG136" s="326"/>
      <c r="AH136" s="363"/>
      <c r="AI136" s="364"/>
      <c r="AJ136" s="334"/>
      <c r="AK136" s="407"/>
      <c r="AL136" s="376"/>
      <c r="AM136" s="363"/>
      <c r="AN136" s="364"/>
      <c r="AO136" s="326"/>
      <c r="AP136" s="363"/>
      <c r="AQ136" s="364"/>
      <c r="AR136" s="326"/>
      <c r="AS136" s="363"/>
      <c r="AT136" s="364"/>
      <c r="AU136" s="326"/>
      <c r="AV136" s="363"/>
      <c r="AW136" s="364"/>
      <c r="AX136" s="334"/>
      <c r="AY136" s="407"/>
      <c r="BA136" s="363"/>
      <c r="BB136" s="364"/>
      <c r="BC136" s="326"/>
      <c r="BD136" s="363"/>
      <c r="BE136" s="364"/>
      <c r="BF136" s="326"/>
      <c r="BG136" s="363"/>
      <c r="BH136" s="364"/>
      <c r="BI136" s="326"/>
      <c r="BJ136" s="363"/>
      <c r="BK136" s="364"/>
      <c r="BL136" s="334"/>
      <c r="BM136" s="407"/>
      <c r="BO136" s="363"/>
      <c r="BP136" s="364"/>
      <c r="BQ136" s="326"/>
      <c r="BR136" s="363"/>
      <c r="BS136" s="364"/>
      <c r="BT136" s="326"/>
      <c r="BU136" s="363"/>
      <c r="BV136" s="364"/>
      <c r="BW136" s="326"/>
      <c r="BX136" s="363"/>
      <c r="BY136" s="364"/>
      <c r="BZ136" s="334"/>
      <c r="CA136" s="407"/>
    </row>
    <row r="137" spans="2:79" ht="85.5" x14ac:dyDescent="0.25">
      <c r="B137" s="848"/>
      <c r="C137" s="812"/>
      <c r="D137" s="339" t="str">
        <f>+'Plan de Accion 2018'!F72</f>
        <v xml:space="preserve">Boletines con resultados del proceso de reconocimiento y pago de recobros por concepto de servicios y tecnologías no cubiertos por el plan de beneficios con cargo a la UPC </v>
      </c>
      <c r="E137" s="773"/>
      <c r="F137" s="365" t="str">
        <f>+'Plan de Accion 2018'!R72</f>
        <v># Boletines realizados</v>
      </c>
      <c r="G137" s="387"/>
      <c r="H137" s="336">
        <f>+'Plan de Accion 2018'!AA72</f>
        <v>1</v>
      </c>
      <c r="I137" s="337">
        <f>+'Plan de Accion 2018'!BL72</f>
        <v>1</v>
      </c>
      <c r="J137" s="330">
        <f>+'Plan de Accion 2018'!AE72</f>
        <v>0.25</v>
      </c>
      <c r="K137" s="344"/>
      <c r="L137" s="336">
        <f>+'Plan de Accion 2018'!AK72</f>
        <v>0</v>
      </c>
      <c r="M137" s="337">
        <f>+'Plan de Accion 2018'!BN72</f>
        <v>0</v>
      </c>
      <c r="N137" s="338">
        <f>+'Plan de Accion 2018'!AO72</f>
        <v>0.25</v>
      </c>
      <c r="O137" s="344"/>
      <c r="P137" s="336">
        <f>+'Plan de Accion 2018'!AU72</f>
        <v>0</v>
      </c>
      <c r="Q137" s="337">
        <f>+'Plan de Accion 2018'!BP72</f>
        <v>0</v>
      </c>
      <c r="R137" s="338">
        <f>+'Plan de Accion 2018'!AY72</f>
        <v>0.25</v>
      </c>
      <c r="S137" s="344"/>
      <c r="T137" s="336">
        <f>+'Plan de Accion 2018'!BE72</f>
        <v>0</v>
      </c>
      <c r="U137" s="337">
        <f>+'Plan de Accion 2018'!BR72</f>
        <v>0</v>
      </c>
      <c r="V137" s="338">
        <f>+'Plan de Accion 2018'!BI72</f>
        <v>0.25</v>
      </c>
      <c r="W137" s="407"/>
      <c r="X137" s="372"/>
      <c r="Y137" s="363"/>
      <c r="Z137" s="364"/>
      <c r="AA137" s="326"/>
      <c r="AB137" s="363"/>
      <c r="AC137" s="364"/>
      <c r="AD137" s="326"/>
      <c r="AE137" s="363"/>
      <c r="AF137" s="364"/>
      <c r="AG137" s="326"/>
      <c r="AH137" s="363"/>
      <c r="AI137" s="364"/>
      <c r="AJ137" s="334"/>
      <c r="AK137" s="407"/>
      <c r="AL137" s="376"/>
      <c r="AM137" s="363"/>
      <c r="AN137" s="364"/>
      <c r="AO137" s="326"/>
      <c r="AP137" s="363"/>
      <c r="AQ137" s="364"/>
      <c r="AR137" s="326"/>
      <c r="AS137" s="363"/>
      <c r="AT137" s="364"/>
      <c r="AU137" s="326"/>
      <c r="AV137" s="363"/>
      <c r="AW137" s="364"/>
      <c r="AX137" s="334"/>
      <c r="AY137" s="407"/>
      <c r="BA137" s="363"/>
      <c r="BB137" s="364"/>
      <c r="BC137" s="326"/>
      <c r="BD137" s="363"/>
      <c r="BE137" s="364"/>
      <c r="BF137" s="326"/>
      <c r="BG137" s="363"/>
      <c r="BH137" s="364"/>
      <c r="BI137" s="326"/>
      <c r="BJ137" s="363"/>
      <c r="BK137" s="364"/>
      <c r="BL137" s="334"/>
      <c r="BM137" s="407"/>
      <c r="BO137" s="363"/>
      <c r="BP137" s="364"/>
      <c r="BQ137" s="326"/>
      <c r="BR137" s="363"/>
      <c r="BS137" s="364"/>
      <c r="BT137" s="326"/>
      <c r="BU137" s="363"/>
      <c r="BV137" s="364"/>
      <c r="BW137" s="326"/>
      <c r="BX137" s="363"/>
      <c r="BY137" s="364"/>
      <c r="BZ137" s="334"/>
      <c r="CA137" s="407"/>
    </row>
    <row r="138" spans="2:79" ht="85.5" x14ac:dyDescent="0.25">
      <c r="B138" s="848"/>
      <c r="C138" s="812"/>
      <c r="D138" s="339" t="str">
        <f>+'Plan de Accion 2018'!J74</f>
        <v>Pagar paquetes de reclamaciones de acuerdo con lo definido en la normativa vigente</v>
      </c>
      <c r="E138" s="773"/>
      <c r="F138" s="365" t="str">
        <f>+'Plan de Accion 2018'!R74</f>
        <v># De ordenaciones de paquetes de reclamaciones con resultado de auditoría culminado / # Paquetes cuyo tramite de auditoría haya culminado</v>
      </c>
      <c r="G138" s="387"/>
      <c r="H138" s="336">
        <f>+'Plan de Accion 2018'!AA74</f>
        <v>0.25</v>
      </c>
      <c r="I138" s="337">
        <f>+'Plan de Accion 2018'!BL74</f>
        <v>1</v>
      </c>
      <c r="J138" s="330">
        <f>+'Plan de Accion 2018'!AE74</f>
        <v>0.25</v>
      </c>
      <c r="K138" s="344"/>
      <c r="L138" s="336">
        <f>+'Plan de Accion 2018'!AK74</f>
        <v>0</v>
      </c>
      <c r="M138" s="337">
        <f>+'Plan de Accion 2018'!BN74</f>
        <v>0</v>
      </c>
      <c r="N138" s="338">
        <f>+'Plan de Accion 2018'!AO74</f>
        <v>0.25</v>
      </c>
      <c r="O138" s="344"/>
      <c r="P138" s="336">
        <f>+'Plan de Accion 2018'!AU74</f>
        <v>0</v>
      </c>
      <c r="Q138" s="337">
        <f>+'Plan de Accion 2018'!BP74</f>
        <v>0</v>
      </c>
      <c r="R138" s="338">
        <f>+'Plan de Accion 2018'!AY74</f>
        <v>0.25</v>
      </c>
      <c r="S138" s="344"/>
      <c r="T138" s="336">
        <f>+'Plan de Accion 2018'!BE74</f>
        <v>0</v>
      </c>
      <c r="U138" s="337">
        <f>+'Plan de Accion 2018'!BR74</f>
        <v>0</v>
      </c>
      <c r="V138" s="338">
        <f>+'Plan de Accion 2018'!BI74</f>
        <v>0.25</v>
      </c>
      <c r="W138" s="407"/>
      <c r="X138" s="372"/>
      <c r="Y138" s="363"/>
      <c r="Z138" s="364"/>
      <c r="AA138" s="326"/>
      <c r="AB138" s="363"/>
      <c r="AC138" s="364"/>
      <c r="AD138" s="326"/>
      <c r="AE138" s="363"/>
      <c r="AF138" s="364"/>
      <c r="AG138" s="326"/>
      <c r="AH138" s="363"/>
      <c r="AI138" s="364"/>
      <c r="AJ138" s="334"/>
      <c r="AK138" s="407"/>
      <c r="AL138" s="376"/>
      <c r="AM138" s="363"/>
      <c r="AN138" s="364"/>
      <c r="AO138" s="326"/>
      <c r="AP138" s="363"/>
      <c r="AQ138" s="364"/>
      <c r="AR138" s="326"/>
      <c r="AS138" s="363"/>
      <c r="AT138" s="364"/>
      <c r="AU138" s="326"/>
      <c r="AV138" s="363"/>
      <c r="AW138" s="364"/>
      <c r="AX138" s="334"/>
      <c r="AY138" s="407"/>
      <c r="BA138" s="363"/>
      <c r="BB138" s="364"/>
      <c r="BC138" s="326"/>
      <c r="BD138" s="363"/>
      <c r="BE138" s="364"/>
      <c r="BF138" s="326"/>
      <c r="BG138" s="363"/>
      <c r="BH138" s="364"/>
      <c r="BI138" s="326"/>
      <c r="BJ138" s="363"/>
      <c r="BK138" s="364"/>
      <c r="BL138" s="334"/>
      <c r="BM138" s="407"/>
      <c r="BO138" s="363"/>
      <c r="BP138" s="364"/>
      <c r="BQ138" s="326"/>
      <c r="BR138" s="363"/>
      <c r="BS138" s="364"/>
      <c r="BT138" s="326"/>
      <c r="BU138" s="363"/>
      <c r="BV138" s="364"/>
      <c r="BW138" s="326"/>
      <c r="BX138" s="363"/>
      <c r="BY138" s="364"/>
      <c r="BZ138" s="334"/>
      <c r="CA138" s="407"/>
    </row>
    <row r="139" spans="2:79" ht="29.25" thickBot="1" x14ac:dyDescent="0.3">
      <c r="B139" s="848"/>
      <c r="C139" s="813"/>
      <c r="D139" s="345" t="str">
        <f>+'Plan de Accion 2018'!F75</f>
        <v>Boletines con resultados del proceso reclamaciones</v>
      </c>
      <c r="E139" s="774"/>
      <c r="F139" s="409" t="str">
        <f>+'Plan de Accion 2018'!R75</f>
        <v># Boletines realizados</v>
      </c>
      <c r="G139" s="387"/>
      <c r="H139" s="348">
        <f>+'Plan de Accion 2018'!AA75</f>
        <v>1</v>
      </c>
      <c r="I139" s="349">
        <f>+'Plan de Accion 2018'!BL75</f>
        <v>1</v>
      </c>
      <c r="J139" s="440">
        <f>+'Plan de Accion 2018'!AE75</f>
        <v>0.25</v>
      </c>
      <c r="K139" s="344"/>
      <c r="L139" s="348">
        <f>+'Plan de Accion 2018'!AK75</f>
        <v>0</v>
      </c>
      <c r="M139" s="349">
        <f>+'Plan de Accion 2018'!BN75</f>
        <v>0</v>
      </c>
      <c r="N139" s="350">
        <f>+'Plan de Accion 2018'!AO75</f>
        <v>0.25</v>
      </c>
      <c r="O139" s="344"/>
      <c r="P139" s="348">
        <f>+'Plan de Accion 2018'!AU75</f>
        <v>0</v>
      </c>
      <c r="Q139" s="349">
        <f>+'Plan de Accion 2018'!BP75</f>
        <v>0</v>
      </c>
      <c r="R139" s="350">
        <f>+'Plan de Accion 2018'!AY75</f>
        <v>0.25</v>
      </c>
      <c r="S139" s="344"/>
      <c r="T139" s="348">
        <f>+'Plan de Accion 2018'!BE75</f>
        <v>0</v>
      </c>
      <c r="U139" s="349">
        <f>+'Plan de Accion 2018'!BR75</f>
        <v>0</v>
      </c>
      <c r="V139" s="350">
        <f>+'Plan de Accion 2018'!BI75</f>
        <v>0.25</v>
      </c>
      <c r="W139" s="407"/>
      <c r="X139" s="372"/>
      <c r="Y139" s="363"/>
      <c r="Z139" s="364"/>
      <c r="AA139" s="326"/>
      <c r="AB139" s="363"/>
      <c r="AC139" s="364"/>
      <c r="AD139" s="326"/>
      <c r="AE139" s="363"/>
      <c r="AF139" s="364"/>
      <c r="AG139" s="326"/>
      <c r="AH139" s="363"/>
      <c r="AI139" s="364"/>
      <c r="AJ139" s="334"/>
      <c r="AK139" s="407"/>
      <c r="AL139" s="376"/>
      <c r="AM139" s="363"/>
      <c r="AN139" s="364"/>
      <c r="AO139" s="326"/>
      <c r="AP139" s="363"/>
      <c r="AQ139" s="364"/>
      <c r="AR139" s="326"/>
      <c r="AS139" s="363"/>
      <c r="AT139" s="364"/>
      <c r="AU139" s="326"/>
      <c r="AV139" s="363"/>
      <c r="AW139" s="364"/>
      <c r="AX139" s="334"/>
      <c r="AY139" s="407"/>
      <c r="BA139" s="363"/>
      <c r="BB139" s="364"/>
      <c r="BC139" s="326"/>
      <c r="BD139" s="363"/>
      <c r="BE139" s="364"/>
      <c r="BF139" s="326"/>
      <c r="BG139" s="363"/>
      <c r="BH139" s="364"/>
      <c r="BI139" s="326"/>
      <c r="BJ139" s="363"/>
      <c r="BK139" s="364"/>
      <c r="BL139" s="334"/>
      <c r="BM139" s="407"/>
      <c r="BO139" s="363"/>
      <c r="BP139" s="364"/>
      <c r="BQ139" s="326"/>
      <c r="BR139" s="363"/>
      <c r="BS139" s="364"/>
      <c r="BT139" s="326"/>
      <c r="BU139" s="363"/>
      <c r="BV139" s="364"/>
      <c r="BW139" s="326"/>
      <c r="BX139" s="363"/>
      <c r="BY139" s="364"/>
      <c r="BZ139" s="334"/>
      <c r="CA139" s="407"/>
    </row>
    <row r="140" spans="2:79" ht="33" customHeight="1" thickBot="1" x14ac:dyDescent="0.3">
      <c r="B140" s="853"/>
      <c r="C140" s="814" t="s">
        <v>817</v>
      </c>
      <c r="D140" s="815"/>
      <c r="E140" s="815"/>
      <c r="F140" s="816"/>
      <c r="G140" s="387"/>
      <c r="H140" s="367" t="s">
        <v>792</v>
      </c>
      <c r="I140" s="353">
        <f>SUM(I118:I139)/COUNT(I118:I139)</f>
        <v>0.87500553709856033</v>
      </c>
      <c r="J140" s="355">
        <f>SUM(J118:J139)/COUNT(J118:J139)</f>
        <v>0.1981395563038314</v>
      </c>
      <c r="K140" s="378"/>
      <c r="L140" s="367" t="s">
        <v>792</v>
      </c>
      <c r="M140" s="353">
        <f>SUM(M118:M139)/COUNT(M118:M139)</f>
        <v>0</v>
      </c>
      <c r="N140" s="355">
        <f>SUM(N118:N139)/COUNT(N118:N139)</f>
        <v>0.1981395563038314</v>
      </c>
      <c r="O140" s="378"/>
      <c r="P140" s="367" t="s">
        <v>792</v>
      </c>
      <c r="Q140" s="353">
        <f>SUM(Q118:Q139)/COUNT(Q118:Q139)</f>
        <v>0</v>
      </c>
      <c r="R140" s="355">
        <f>SUM(R118:R139)/COUNT(R118:R139)</f>
        <v>0.1981395563038314</v>
      </c>
      <c r="S140" s="378"/>
      <c r="T140" s="367" t="s">
        <v>792</v>
      </c>
      <c r="U140" s="353">
        <f>SUM(U118:U139)/COUNT(U118:U139)</f>
        <v>0</v>
      </c>
      <c r="V140" s="355">
        <f>SUM(V118:V139)/COUNT(V118:V139)</f>
        <v>0.1981395563038314</v>
      </c>
      <c r="W140" s="407"/>
      <c r="X140" s="372"/>
      <c r="Y140" s="363"/>
      <c r="Z140" s="364"/>
      <c r="AA140" s="326"/>
      <c r="AB140" s="363"/>
      <c r="AC140" s="364"/>
      <c r="AD140" s="326"/>
      <c r="AE140" s="363"/>
      <c r="AF140" s="364"/>
      <c r="AG140" s="326"/>
      <c r="AH140" s="363"/>
      <c r="AI140" s="364"/>
      <c r="AJ140" s="334"/>
      <c r="AK140" s="407"/>
      <c r="AL140" s="376"/>
      <c r="AM140" s="363"/>
      <c r="AN140" s="364"/>
      <c r="AO140" s="326"/>
      <c r="AP140" s="363"/>
      <c r="AQ140" s="364"/>
      <c r="AR140" s="326"/>
      <c r="AS140" s="363"/>
      <c r="AT140" s="364"/>
      <c r="AU140" s="326"/>
      <c r="AV140" s="363"/>
      <c r="AW140" s="364"/>
      <c r="AX140" s="334"/>
      <c r="AY140" s="407"/>
      <c r="BA140" s="363"/>
      <c r="BB140" s="364"/>
      <c r="BC140" s="326"/>
      <c r="BD140" s="363"/>
      <c r="BE140" s="364"/>
      <c r="BF140" s="326"/>
      <c r="BG140" s="363"/>
      <c r="BH140" s="364"/>
      <c r="BI140" s="326"/>
      <c r="BJ140" s="363"/>
      <c r="BK140" s="364"/>
      <c r="BL140" s="334"/>
      <c r="BM140" s="407"/>
      <c r="BO140" s="363"/>
      <c r="BP140" s="364"/>
      <c r="BQ140" s="326"/>
      <c r="BR140" s="363"/>
      <c r="BS140" s="364"/>
      <c r="BT140" s="326"/>
      <c r="BU140" s="363"/>
      <c r="BV140" s="364"/>
      <c r="BW140" s="326"/>
      <c r="BX140" s="363"/>
      <c r="BY140" s="364"/>
      <c r="BZ140" s="334"/>
      <c r="CA140" s="407"/>
    </row>
    <row r="141" spans="2:79" ht="28.5" x14ac:dyDescent="0.25">
      <c r="B141" s="848"/>
      <c r="C141" s="775" t="s">
        <v>145</v>
      </c>
      <c r="D141" s="369" t="str">
        <f>+'Plan de Accion 2018'!F36</f>
        <v>Publicación  Ejecución Presupuestal</v>
      </c>
      <c r="E141" s="778" t="str">
        <f>+'Plan de Accion 2018'!B36</f>
        <v>Dirección de Gestión de Recursos Financieros de Salud</v>
      </c>
      <c r="F141" s="370" t="str">
        <f>+'Plan de Accion 2018'!R36</f>
        <v># Ejecuciones Presupuestales Publicadas</v>
      </c>
      <c r="G141" s="342"/>
      <c r="H141" s="327">
        <f>+'Plan de Accion 2018'!AA36</f>
        <v>3</v>
      </c>
      <c r="I141" s="328">
        <f>+'Plan de Accion 2018'!BL36</f>
        <v>1</v>
      </c>
      <c r="J141" s="330">
        <f>+'Plan de Accion 2018'!AE36</f>
        <v>0.25</v>
      </c>
      <c r="K141" s="344"/>
      <c r="L141" s="327">
        <f>+'Plan de Accion 2018'!AK36</f>
        <v>0</v>
      </c>
      <c r="M141" s="328">
        <f>+'Plan de Accion 2018'!BN36</f>
        <v>0</v>
      </c>
      <c r="N141" s="330">
        <f>+'Plan de Accion 2018'!AO36</f>
        <v>0.25</v>
      </c>
      <c r="O141" s="344"/>
      <c r="P141" s="327">
        <f>+'Plan de Accion 2018'!AU36</f>
        <v>0</v>
      </c>
      <c r="Q141" s="328">
        <f>+'Plan de Accion 2018'!BP36</f>
        <v>0</v>
      </c>
      <c r="R141" s="330">
        <f>+'Plan de Accion 2018'!AY36</f>
        <v>0.25</v>
      </c>
      <c r="S141" s="344"/>
      <c r="T141" s="327">
        <f>+'Plan de Accion 2018'!BE36</f>
        <v>0</v>
      </c>
      <c r="U141" s="328">
        <f>+'Plan de Accion 2018'!BR36</f>
        <v>0</v>
      </c>
      <c r="V141" s="330">
        <f>+'Plan de Accion 2018'!BI36</f>
        <v>0.25</v>
      </c>
      <c r="W141" s="410"/>
      <c r="X141" s="382"/>
      <c r="Y141" s="411"/>
      <c r="Z141" s="412"/>
      <c r="AA141" s="326"/>
      <c r="AB141" s="363"/>
      <c r="AC141" s="364"/>
      <c r="AD141" s="326"/>
      <c r="AE141" s="363"/>
      <c r="AF141" s="364"/>
      <c r="AG141" s="326"/>
      <c r="AH141" s="363"/>
      <c r="AI141" s="364"/>
      <c r="AJ141" s="334"/>
      <c r="AK141" s="407"/>
      <c r="AL141" s="376"/>
      <c r="AM141" s="363"/>
      <c r="AN141" s="364"/>
      <c r="AO141" s="326"/>
      <c r="AP141" s="363"/>
      <c r="AQ141" s="364"/>
      <c r="AR141" s="326"/>
      <c r="AS141" s="363"/>
      <c r="AT141" s="364"/>
      <c r="AU141" s="326"/>
      <c r="AV141" s="363"/>
      <c r="AW141" s="364"/>
      <c r="AX141" s="334"/>
      <c r="AY141" s="407"/>
      <c r="BA141" s="363"/>
      <c r="BB141" s="364"/>
      <c r="BC141" s="326"/>
      <c r="BD141" s="363"/>
      <c r="BE141" s="364"/>
      <c r="BF141" s="326"/>
      <c r="BG141" s="363"/>
      <c r="BH141" s="364"/>
      <c r="BI141" s="326"/>
      <c r="BJ141" s="363"/>
      <c r="BK141" s="364"/>
      <c r="BL141" s="334"/>
      <c r="BM141" s="407"/>
      <c r="BO141" s="363"/>
      <c r="BP141" s="364"/>
      <c r="BQ141" s="326"/>
      <c r="BR141" s="363"/>
      <c r="BS141" s="364"/>
      <c r="BT141" s="326"/>
      <c r="BU141" s="363"/>
      <c r="BV141" s="364"/>
      <c r="BW141" s="326"/>
      <c r="BX141" s="363"/>
      <c r="BY141" s="364"/>
      <c r="BZ141" s="334"/>
      <c r="CA141" s="407"/>
    </row>
    <row r="142" spans="2:79" ht="42.75" x14ac:dyDescent="0.25">
      <c r="B142" s="848"/>
      <c r="C142" s="776"/>
      <c r="D142" s="773" t="str">
        <f>+'Plan de Accion 2018'!F37</f>
        <v>Gestión de Recaudo</v>
      </c>
      <c r="E142" s="773"/>
      <c r="F142" s="365" t="str">
        <f>+'Plan de Accion 2018'!R37</f>
        <v># Recaudos Identificados / # Total de Recaudo Recibido en el Trimestre</v>
      </c>
      <c r="G142" s="342"/>
      <c r="H142" s="336">
        <f>+'Plan de Accion 2018'!AA37</f>
        <v>0.24968273121612766</v>
      </c>
      <c r="I142" s="337">
        <f>+'Plan de Accion 2018'!BL37</f>
        <v>0.99873092486451065</v>
      </c>
      <c r="J142" s="330">
        <f>+'Plan de Accion 2018'!AE37</f>
        <v>0.24968273121612766</v>
      </c>
      <c r="K142" s="344"/>
      <c r="L142" s="336">
        <f>+'Plan de Accion 2018'!AK37</f>
        <v>0</v>
      </c>
      <c r="M142" s="337">
        <f>+'Plan de Accion 2018'!BN37</f>
        <v>0</v>
      </c>
      <c r="N142" s="338">
        <f>+'Plan de Accion 2018'!AO37</f>
        <v>0.24968273121612766</v>
      </c>
      <c r="O142" s="344"/>
      <c r="P142" s="336">
        <f>+'Plan de Accion 2018'!AU37</f>
        <v>0</v>
      </c>
      <c r="Q142" s="337">
        <f>+'Plan de Accion 2018'!BP37</f>
        <v>0</v>
      </c>
      <c r="R142" s="338">
        <f>+'Plan de Accion 2018'!AY37</f>
        <v>0.24968273121612766</v>
      </c>
      <c r="S142" s="344"/>
      <c r="T142" s="336">
        <f>+'Plan de Accion 2018'!BE37</f>
        <v>0</v>
      </c>
      <c r="U142" s="337">
        <f>+'Plan de Accion 2018'!BR37</f>
        <v>0</v>
      </c>
      <c r="V142" s="338">
        <f>+'Plan de Accion 2018'!BI37</f>
        <v>0.24968273121612766</v>
      </c>
      <c r="W142" s="410"/>
      <c r="X142" s="382"/>
      <c r="Y142" s="411"/>
      <c r="Z142" s="412"/>
      <c r="AA142" s="326"/>
      <c r="AB142" s="363"/>
      <c r="AC142" s="364"/>
      <c r="AD142" s="326"/>
      <c r="AE142" s="363"/>
      <c r="AF142" s="364"/>
      <c r="AG142" s="326"/>
      <c r="AH142" s="363"/>
      <c r="AI142" s="364"/>
      <c r="AJ142" s="334"/>
      <c r="AK142" s="407"/>
      <c r="AL142" s="376"/>
      <c r="AM142" s="363"/>
      <c r="AN142" s="364"/>
      <c r="AO142" s="326"/>
      <c r="AP142" s="363"/>
      <c r="AQ142" s="364"/>
      <c r="AR142" s="326"/>
      <c r="AS142" s="363"/>
      <c r="AT142" s="364"/>
      <c r="AU142" s="326"/>
      <c r="AV142" s="363"/>
      <c r="AW142" s="364"/>
      <c r="AX142" s="334"/>
      <c r="AY142" s="407"/>
      <c r="BA142" s="363"/>
      <c r="BB142" s="364"/>
      <c r="BC142" s="326"/>
      <c r="BD142" s="363"/>
      <c r="BE142" s="364"/>
      <c r="BF142" s="326"/>
      <c r="BG142" s="363"/>
      <c r="BH142" s="364"/>
      <c r="BI142" s="326"/>
      <c r="BJ142" s="363"/>
      <c r="BK142" s="364"/>
      <c r="BL142" s="334"/>
      <c r="BM142" s="407"/>
      <c r="BO142" s="363"/>
      <c r="BP142" s="364"/>
      <c r="BQ142" s="326"/>
      <c r="BR142" s="363"/>
      <c r="BS142" s="364"/>
      <c r="BT142" s="326"/>
      <c r="BU142" s="363"/>
      <c r="BV142" s="364"/>
      <c r="BW142" s="326"/>
      <c r="BX142" s="363"/>
      <c r="BY142" s="364"/>
      <c r="BZ142" s="334"/>
      <c r="CA142" s="407"/>
    </row>
    <row r="143" spans="2:79" ht="19.5" x14ac:dyDescent="0.25">
      <c r="B143" s="848"/>
      <c r="C143" s="776"/>
      <c r="D143" s="773"/>
      <c r="E143" s="773"/>
      <c r="F143" s="365" t="str">
        <f>+'Plan de Accion 2018'!R38</f>
        <v># Informes reportados</v>
      </c>
      <c r="G143" s="342"/>
      <c r="H143" s="336">
        <f>+'Plan de Accion 2018'!AA38</f>
        <v>3</v>
      </c>
      <c r="I143" s="337">
        <f>+'Plan de Accion 2018'!BL38</f>
        <v>1</v>
      </c>
      <c r="J143" s="330">
        <f>+'Plan de Accion 2018'!AE38</f>
        <v>0.25</v>
      </c>
      <c r="K143" s="344"/>
      <c r="L143" s="336">
        <f>+'Plan de Accion 2018'!AK38</f>
        <v>0</v>
      </c>
      <c r="M143" s="337">
        <f>+'Plan de Accion 2018'!BN38</f>
        <v>0</v>
      </c>
      <c r="N143" s="338">
        <f>+'Plan de Accion 2018'!AO38</f>
        <v>0.25</v>
      </c>
      <c r="O143" s="344"/>
      <c r="P143" s="336">
        <f>+'Plan de Accion 2018'!AU38</f>
        <v>0</v>
      </c>
      <c r="Q143" s="337">
        <f>+'Plan de Accion 2018'!BP38</f>
        <v>0</v>
      </c>
      <c r="R143" s="338">
        <f>+'Plan de Accion 2018'!AY38</f>
        <v>0.25</v>
      </c>
      <c r="S143" s="344"/>
      <c r="T143" s="336">
        <f>+'Plan de Accion 2018'!BE38</f>
        <v>0</v>
      </c>
      <c r="U143" s="337">
        <f>+'Plan de Accion 2018'!BR38</f>
        <v>0</v>
      </c>
      <c r="V143" s="338">
        <f>+'Plan de Accion 2018'!BI38</f>
        <v>0.25</v>
      </c>
      <c r="W143" s="410"/>
      <c r="X143" s="382"/>
      <c r="Y143" s="411"/>
      <c r="Z143" s="412"/>
      <c r="AA143" s="326"/>
      <c r="AB143" s="363"/>
      <c r="AC143" s="364"/>
      <c r="AD143" s="326"/>
      <c r="AE143" s="363"/>
      <c r="AF143" s="364"/>
      <c r="AG143" s="326"/>
      <c r="AH143" s="363"/>
      <c r="AI143" s="364"/>
      <c r="AJ143" s="334"/>
      <c r="AK143" s="407"/>
      <c r="AL143" s="376"/>
      <c r="AM143" s="363"/>
      <c r="AN143" s="364"/>
      <c r="AO143" s="326"/>
      <c r="AP143" s="363"/>
      <c r="AQ143" s="364"/>
      <c r="AR143" s="326"/>
      <c r="AS143" s="363"/>
      <c r="AT143" s="364"/>
      <c r="AU143" s="326"/>
      <c r="AV143" s="363"/>
      <c r="AW143" s="364"/>
      <c r="AX143" s="334"/>
      <c r="AY143" s="407"/>
      <c r="BA143" s="363"/>
      <c r="BB143" s="364"/>
      <c r="BC143" s="326"/>
      <c r="BD143" s="363"/>
      <c r="BE143" s="364"/>
      <c r="BF143" s="326"/>
      <c r="BG143" s="363"/>
      <c r="BH143" s="364"/>
      <c r="BI143" s="326"/>
      <c r="BJ143" s="363"/>
      <c r="BK143" s="364"/>
      <c r="BL143" s="334"/>
      <c r="BM143" s="407"/>
      <c r="BO143" s="363"/>
      <c r="BP143" s="364"/>
      <c r="BQ143" s="326"/>
      <c r="BR143" s="363"/>
      <c r="BS143" s="364"/>
      <c r="BT143" s="326"/>
      <c r="BU143" s="363"/>
      <c r="BV143" s="364"/>
      <c r="BW143" s="326"/>
      <c r="BX143" s="363"/>
      <c r="BY143" s="364"/>
      <c r="BZ143" s="334"/>
      <c r="CA143" s="407"/>
    </row>
    <row r="144" spans="2:79" ht="54.95" customHeight="1" x14ac:dyDescent="0.25">
      <c r="B144" s="848"/>
      <c r="C144" s="776"/>
      <c r="D144" s="773"/>
      <c r="E144" s="773"/>
      <c r="F144" s="365" t="str">
        <f>+'Plan de Accion 2018'!R39</f>
        <v># Partidas Identificadas que no fueron identificadas en el mes anterior / # Partidas No identificadas en el mes anterior</v>
      </c>
      <c r="G144" s="342"/>
      <c r="H144" s="336">
        <f>+'Plan de Accion 2018'!AA39</f>
        <v>0.20501763837675097</v>
      </c>
      <c r="I144" s="337">
        <f>+'Plan de Accion 2018'!BL39</f>
        <v>0.82007055350700386</v>
      </c>
      <c r="J144" s="330">
        <f>+'Plan de Accion 2018'!AE39</f>
        <v>0.20501763837675097</v>
      </c>
      <c r="K144" s="344"/>
      <c r="L144" s="336">
        <f>+'Plan de Accion 2018'!AK39</f>
        <v>0</v>
      </c>
      <c r="M144" s="337">
        <f>+'Plan de Accion 2018'!BN39</f>
        <v>0</v>
      </c>
      <c r="N144" s="338">
        <f>+'Plan de Accion 2018'!AO39</f>
        <v>0.20501763837675097</v>
      </c>
      <c r="O144" s="344"/>
      <c r="P144" s="336">
        <f>+'Plan de Accion 2018'!AU39</f>
        <v>0</v>
      </c>
      <c r="Q144" s="337">
        <f>+'Plan de Accion 2018'!BP39</f>
        <v>0</v>
      </c>
      <c r="R144" s="338">
        <f>+'Plan de Accion 2018'!AY39</f>
        <v>0.20501763837675097</v>
      </c>
      <c r="S144" s="344"/>
      <c r="T144" s="336">
        <f>+'Plan de Accion 2018'!BE39</f>
        <v>0</v>
      </c>
      <c r="U144" s="337">
        <f>+'Plan de Accion 2018'!BR39</f>
        <v>0</v>
      </c>
      <c r="V144" s="338">
        <f>+'Plan de Accion 2018'!BI39</f>
        <v>0.20501763837675097</v>
      </c>
      <c r="W144" s="410"/>
      <c r="X144" s="382"/>
      <c r="Y144" s="411"/>
      <c r="Z144" s="412"/>
      <c r="AA144" s="326"/>
      <c r="AB144" s="363"/>
      <c r="AC144" s="364"/>
      <c r="AD144" s="326"/>
      <c r="AE144" s="363"/>
      <c r="AF144" s="364"/>
      <c r="AG144" s="326"/>
      <c r="AH144" s="363"/>
      <c r="AI144" s="364"/>
      <c r="AJ144" s="334"/>
      <c r="AK144" s="407"/>
      <c r="AL144" s="376"/>
      <c r="AM144" s="363"/>
      <c r="AN144" s="364"/>
      <c r="AO144" s="326"/>
      <c r="AP144" s="363"/>
      <c r="AQ144" s="364"/>
      <c r="AR144" s="326"/>
      <c r="AS144" s="363"/>
      <c r="AT144" s="364"/>
      <c r="AU144" s="326"/>
      <c r="AV144" s="363"/>
      <c r="AW144" s="364"/>
      <c r="AX144" s="334"/>
      <c r="AY144" s="407"/>
      <c r="BA144" s="363"/>
      <c r="BB144" s="364"/>
      <c r="BC144" s="326"/>
      <c r="BD144" s="363"/>
      <c r="BE144" s="364"/>
      <c r="BF144" s="326"/>
      <c r="BG144" s="363"/>
      <c r="BH144" s="364"/>
      <c r="BI144" s="326"/>
      <c r="BJ144" s="363"/>
      <c r="BK144" s="364"/>
      <c r="BL144" s="334"/>
      <c r="BM144" s="407"/>
      <c r="BO144" s="363"/>
      <c r="BP144" s="364"/>
      <c r="BQ144" s="326"/>
      <c r="BR144" s="363"/>
      <c r="BS144" s="364"/>
      <c r="BT144" s="326"/>
      <c r="BU144" s="363"/>
      <c r="BV144" s="364"/>
      <c r="BW144" s="326"/>
      <c r="BX144" s="363"/>
      <c r="BY144" s="364"/>
      <c r="BZ144" s="334"/>
      <c r="CA144" s="407"/>
    </row>
    <row r="145" spans="2:79" ht="28.5" x14ac:dyDescent="0.25">
      <c r="B145" s="848"/>
      <c r="C145" s="776"/>
      <c r="D145" s="339" t="str">
        <f>+'Plan de Accion 2018'!F40</f>
        <v>Ordenes de Giros</v>
      </c>
      <c r="E145" s="773"/>
      <c r="F145" s="365" t="str">
        <f>+'Plan de Accion 2018'!R40</f>
        <v># Ordenes Giradas / # Giradas Tramitadas</v>
      </c>
      <c r="G145" s="342"/>
      <c r="H145" s="336">
        <f>+'Plan de Accion 2018'!AA40</f>
        <v>0.25</v>
      </c>
      <c r="I145" s="337">
        <f>+'Plan de Accion 2018'!BL40</f>
        <v>1</v>
      </c>
      <c r="J145" s="330">
        <f>+'Plan de Accion 2018'!AE40</f>
        <v>0.25</v>
      </c>
      <c r="K145" s="344"/>
      <c r="L145" s="336">
        <f>+'Plan de Accion 2018'!AK40</f>
        <v>0</v>
      </c>
      <c r="M145" s="337">
        <f>+'Plan de Accion 2018'!BN40</f>
        <v>0</v>
      </c>
      <c r="N145" s="338">
        <f>+'Plan de Accion 2018'!AO40</f>
        <v>0.25</v>
      </c>
      <c r="O145" s="344"/>
      <c r="P145" s="336">
        <f>+'Plan de Accion 2018'!AU40</f>
        <v>0</v>
      </c>
      <c r="Q145" s="337">
        <f>+'Plan de Accion 2018'!BP40</f>
        <v>0</v>
      </c>
      <c r="R145" s="338">
        <f>+'Plan de Accion 2018'!AY40</f>
        <v>0.25</v>
      </c>
      <c r="S145" s="344"/>
      <c r="T145" s="336">
        <f>+'Plan de Accion 2018'!BE40</f>
        <v>0</v>
      </c>
      <c r="U145" s="337">
        <f>+'Plan de Accion 2018'!BR40</f>
        <v>0</v>
      </c>
      <c r="V145" s="338">
        <f>+'Plan de Accion 2018'!BI40</f>
        <v>0.25</v>
      </c>
      <c r="W145" s="410"/>
      <c r="X145" s="382"/>
      <c r="Y145" s="411"/>
      <c r="Z145" s="412"/>
      <c r="AA145" s="326"/>
      <c r="AB145" s="363"/>
      <c r="AC145" s="364"/>
      <c r="AD145" s="326"/>
      <c r="AE145" s="363"/>
      <c r="AF145" s="364"/>
      <c r="AG145" s="326"/>
      <c r="AH145" s="363"/>
      <c r="AI145" s="364"/>
      <c r="AJ145" s="334"/>
      <c r="AK145" s="407"/>
      <c r="AL145" s="376"/>
      <c r="AM145" s="363"/>
      <c r="AN145" s="364"/>
      <c r="AO145" s="326"/>
      <c r="AP145" s="363"/>
      <c r="AQ145" s="364"/>
      <c r="AR145" s="326"/>
      <c r="AS145" s="363"/>
      <c r="AT145" s="364"/>
      <c r="AU145" s="326"/>
      <c r="AV145" s="363"/>
      <c r="AW145" s="364"/>
      <c r="AX145" s="334"/>
      <c r="AY145" s="407"/>
      <c r="BA145" s="363"/>
      <c r="BB145" s="364"/>
      <c r="BC145" s="326"/>
      <c r="BD145" s="363"/>
      <c r="BE145" s="364"/>
      <c r="BF145" s="326"/>
      <c r="BG145" s="363"/>
      <c r="BH145" s="364"/>
      <c r="BI145" s="326"/>
      <c r="BJ145" s="363"/>
      <c r="BK145" s="364"/>
      <c r="BL145" s="334"/>
      <c r="BM145" s="407"/>
      <c r="BO145" s="363"/>
      <c r="BP145" s="364"/>
      <c r="BQ145" s="326"/>
      <c r="BR145" s="363"/>
      <c r="BS145" s="364"/>
      <c r="BT145" s="326"/>
      <c r="BU145" s="363"/>
      <c r="BV145" s="364"/>
      <c r="BW145" s="326"/>
      <c r="BX145" s="363"/>
      <c r="BY145" s="364"/>
      <c r="BZ145" s="334"/>
      <c r="CA145" s="407"/>
    </row>
    <row r="146" spans="2:79" ht="54.95" customHeight="1" x14ac:dyDescent="0.25">
      <c r="B146" s="848"/>
      <c r="C146" s="776"/>
      <c r="D146" s="339" t="str">
        <f>+'Plan de Accion 2018'!F41</f>
        <v>Portafolio</v>
      </c>
      <c r="E146" s="773"/>
      <c r="F146" s="365" t="str">
        <f>+'Plan de Accion 2018'!R41</f>
        <v># Boletines Realizados / # Boletines Proyectados del Periodo</v>
      </c>
      <c r="G146" s="342"/>
      <c r="H146" s="336">
        <f>+'Plan de Accion 2018'!AA41</f>
        <v>0.25</v>
      </c>
      <c r="I146" s="337">
        <f>+'Plan de Accion 2018'!BL41</f>
        <v>1</v>
      </c>
      <c r="J146" s="330">
        <f>+'Plan de Accion 2018'!AE41</f>
        <v>0.25</v>
      </c>
      <c r="K146" s="344"/>
      <c r="L146" s="336">
        <f>+'Plan de Accion 2018'!AK41</f>
        <v>0</v>
      </c>
      <c r="M146" s="337">
        <f>+'Plan de Accion 2018'!BN41</f>
        <v>0</v>
      </c>
      <c r="N146" s="338">
        <f>+'Plan de Accion 2018'!AO41</f>
        <v>0.25</v>
      </c>
      <c r="O146" s="344"/>
      <c r="P146" s="336">
        <f>+'Plan de Accion 2018'!AU41</f>
        <v>0</v>
      </c>
      <c r="Q146" s="337">
        <f>+'Plan de Accion 2018'!BP41</f>
        <v>0</v>
      </c>
      <c r="R146" s="338">
        <f>+'Plan de Accion 2018'!AY41</f>
        <v>0.25</v>
      </c>
      <c r="S146" s="344"/>
      <c r="T146" s="336">
        <f>+'Plan de Accion 2018'!BE41</f>
        <v>0</v>
      </c>
      <c r="U146" s="337">
        <f>+'Plan de Accion 2018'!BR41</f>
        <v>0</v>
      </c>
      <c r="V146" s="338">
        <f>+'Plan de Accion 2018'!BI41</f>
        <v>0.25</v>
      </c>
      <c r="W146" s="410"/>
      <c r="X146" s="382"/>
      <c r="Y146" s="411"/>
      <c r="Z146" s="412"/>
      <c r="AA146" s="326"/>
      <c r="AB146" s="363"/>
      <c r="AC146" s="364"/>
      <c r="AD146" s="326"/>
      <c r="AE146" s="363"/>
      <c r="AF146" s="364"/>
      <c r="AG146" s="326"/>
      <c r="AH146" s="363"/>
      <c r="AI146" s="364"/>
      <c r="AJ146" s="334"/>
      <c r="AK146" s="407"/>
      <c r="AL146" s="376"/>
      <c r="AM146" s="363"/>
      <c r="AN146" s="364"/>
      <c r="AO146" s="326"/>
      <c r="AP146" s="363"/>
      <c r="AQ146" s="364"/>
      <c r="AR146" s="326"/>
      <c r="AS146" s="363"/>
      <c r="AT146" s="364"/>
      <c r="AU146" s="326"/>
      <c r="AV146" s="363"/>
      <c r="AW146" s="364"/>
      <c r="AX146" s="334"/>
      <c r="AY146" s="407"/>
      <c r="BA146" s="363"/>
      <c r="BB146" s="364"/>
      <c r="BC146" s="326"/>
      <c r="BD146" s="363"/>
      <c r="BE146" s="364"/>
      <c r="BF146" s="326"/>
      <c r="BG146" s="363"/>
      <c r="BH146" s="364"/>
      <c r="BI146" s="326"/>
      <c r="BJ146" s="363"/>
      <c r="BK146" s="364"/>
      <c r="BL146" s="334"/>
      <c r="BM146" s="407"/>
      <c r="BO146" s="363"/>
      <c r="BP146" s="364"/>
      <c r="BQ146" s="326"/>
      <c r="BR146" s="363"/>
      <c r="BS146" s="364"/>
      <c r="BT146" s="326"/>
      <c r="BU146" s="363"/>
      <c r="BV146" s="364"/>
      <c r="BW146" s="326"/>
      <c r="BX146" s="363"/>
      <c r="BY146" s="364"/>
      <c r="BZ146" s="334"/>
      <c r="CA146" s="407"/>
    </row>
    <row r="147" spans="2:79" ht="42.75" x14ac:dyDescent="0.25">
      <c r="B147" s="848"/>
      <c r="C147" s="776"/>
      <c r="D147" s="339" t="str">
        <f>+'Plan de Accion 2018'!F42</f>
        <v>Estados Financieros</v>
      </c>
      <c r="E147" s="773"/>
      <c r="F147" s="365" t="str">
        <f>+'Plan de Accion 2018'!R42</f>
        <v># Estados Financieros Presentados / # Estados Financieros Programados</v>
      </c>
      <c r="G147" s="342"/>
      <c r="H147" s="336">
        <f>+'Plan de Accion 2018'!AA42</f>
        <v>1</v>
      </c>
      <c r="I147" s="337">
        <f>+'Plan de Accion 2018'!BL42</f>
        <v>1</v>
      </c>
      <c r="J147" s="330">
        <f>+'Plan de Accion 2018'!AE42</f>
        <v>0.25</v>
      </c>
      <c r="K147" s="344"/>
      <c r="L147" s="336">
        <f>+'Plan de Accion 2018'!AK42</f>
        <v>0</v>
      </c>
      <c r="M147" s="337">
        <f>+'Plan de Accion 2018'!BN42</f>
        <v>0</v>
      </c>
      <c r="N147" s="338">
        <f>+'Plan de Accion 2018'!AO42</f>
        <v>0.25</v>
      </c>
      <c r="O147" s="344"/>
      <c r="P147" s="336">
        <f>+'Plan de Accion 2018'!AU42</f>
        <v>0</v>
      </c>
      <c r="Q147" s="337">
        <f>+'Plan de Accion 2018'!BP42</f>
        <v>0</v>
      </c>
      <c r="R147" s="338">
        <f>+'Plan de Accion 2018'!AY42</f>
        <v>0.25</v>
      </c>
      <c r="S147" s="344"/>
      <c r="T147" s="336">
        <f>+'Plan de Accion 2018'!BE42</f>
        <v>0</v>
      </c>
      <c r="U147" s="337">
        <f>+'Plan de Accion 2018'!BR42</f>
        <v>0</v>
      </c>
      <c r="V147" s="338">
        <f>+'Plan de Accion 2018'!BI42</f>
        <v>0.25</v>
      </c>
      <c r="W147" s="410"/>
      <c r="X147" s="382"/>
      <c r="Y147" s="411"/>
      <c r="Z147" s="412"/>
      <c r="AA147" s="326"/>
      <c r="AB147" s="363"/>
      <c r="AC147" s="364"/>
      <c r="AD147" s="326"/>
      <c r="AE147" s="363"/>
      <c r="AF147" s="364"/>
      <c r="AG147" s="326"/>
      <c r="AH147" s="363"/>
      <c r="AI147" s="364"/>
      <c r="AJ147" s="334"/>
      <c r="AK147" s="407"/>
      <c r="AL147" s="376"/>
      <c r="AM147" s="363"/>
      <c r="AN147" s="364"/>
      <c r="AO147" s="326"/>
      <c r="AP147" s="363"/>
      <c r="AQ147" s="364"/>
      <c r="AR147" s="326"/>
      <c r="AS147" s="363"/>
      <c r="AT147" s="364"/>
      <c r="AU147" s="326"/>
      <c r="AV147" s="363"/>
      <c r="AW147" s="364"/>
      <c r="AX147" s="334"/>
      <c r="AY147" s="407"/>
      <c r="BA147" s="363"/>
      <c r="BB147" s="364"/>
      <c r="BC147" s="326"/>
      <c r="BD147" s="363"/>
      <c r="BE147" s="364"/>
      <c r="BF147" s="326"/>
      <c r="BG147" s="363"/>
      <c r="BH147" s="364"/>
      <c r="BI147" s="326"/>
      <c r="BJ147" s="363"/>
      <c r="BK147" s="364"/>
      <c r="BL147" s="334"/>
      <c r="BM147" s="407"/>
      <c r="BO147" s="363"/>
      <c r="BP147" s="364"/>
      <c r="BQ147" s="326"/>
      <c r="BR147" s="363"/>
      <c r="BS147" s="364"/>
      <c r="BT147" s="326"/>
      <c r="BU147" s="363"/>
      <c r="BV147" s="364"/>
      <c r="BW147" s="326"/>
      <c r="BX147" s="363"/>
      <c r="BY147" s="364"/>
      <c r="BZ147" s="334"/>
      <c r="CA147" s="407"/>
    </row>
    <row r="148" spans="2:79" ht="43.5" thickBot="1" x14ac:dyDescent="0.3">
      <c r="B148" s="848"/>
      <c r="C148" s="777"/>
      <c r="D148" s="345" t="str">
        <f>+'Plan de Accion 2018'!F43</f>
        <v>Informe Operaciones Reciprocas CGN</v>
      </c>
      <c r="E148" s="774"/>
      <c r="F148" s="409" t="str">
        <f>+'Plan de Accion 2018'!R43</f>
        <v># Informes Publicados / # Informes Proyectados a Publicar</v>
      </c>
      <c r="G148" s="342"/>
      <c r="H148" s="348">
        <f>+'Plan de Accion 2018'!AA43</f>
        <v>1</v>
      </c>
      <c r="I148" s="349">
        <f>+'Plan de Accion 2018'!BL43</f>
        <v>1</v>
      </c>
      <c r="J148" s="440">
        <f>+'Plan de Accion 2018'!AE43</f>
        <v>0.25</v>
      </c>
      <c r="K148" s="344"/>
      <c r="L148" s="348">
        <f>+'Plan de Accion 2018'!AK43</f>
        <v>0</v>
      </c>
      <c r="M148" s="349">
        <f>+'Plan de Accion 2018'!BN43</f>
        <v>0</v>
      </c>
      <c r="N148" s="350">
        <f>+'Plan de Accion 2018'!AO43</f>
        <v>0.25</v>
      </c>
      <c r="O148" s="344"/>
      <c r="P148" s="348">
        <f>+'Plan de Accion 2018'!AU43</f>
        <v>0</v>
      </c>
      <c r="Q148" s="349">
        <f>+'Plan de Accion 2018'!BP43</f>
        <v>0</v>
      </c>
      <c r="R148" s="350">
        <f>+'Plan de Accion 2018'!AY43</f>
        <v>0.25</v>
      </c>
      <c r="S148" s="344"/>
      <c r="T148" s="348">
        <f>+'Plan de Accion 2018'!BE43</f>
        <v>0</v>
      </c>
      <c r="U148" s="349">
        <f>+'Plan de Accion 2018'!BR43</f>
        <v>0</v>
      </c>
      <c r="V148" s="350">
        <f>+'Plan de Accion 2018'!BI43</f>
        <v>0.25</v>
      </c>
      <c r="W148" s="410"/>
      <c r="X148" s="382"/>
      <c r="Y148" s="411"/>
      <c r="Z148" s="412"/>
      <c r="AA148" s="326"/>
      <c r="AB148" s="363"/>
      <c r="AC148" s="364"/>
      <c r="AD148" s="326"/>
      <c r="AE148" s="363"/>
      <c r="AF148" s="364"/>
      <c r="AG148" s="326"/>
      <c r="AH148" s="363"/>
      <c r="AI148" s="364"/>
      <c r="AJ148" s="334"/>
      <c r="AK148" s="407"/>
      <c r="AL148" s="376"/>
      <c r="AM148" s="363"/>
      <c r="AN148" s="364"/>
      <c r="AO148" s="326"/>
      <c r="AP148" s="363"/>
      <c r="AQ148" s="364"/>
      <c r="AR148" s="326"/>
      <c r="AS148" s="363"/>
      <c r="AT148" s="364"/>
      <c r="AU148" s="326"/>
      <c r="AV148" s="363"/>
      <c r="AW148" s="364"/>
      <c r="AX148" s="334"/>
      <c r="AY148" s="407"/>
      <c r="BA148" s="363"/>
      <c r="BB148" s="364"/>
      <c r="BC148" s="326"/>
      <c r="BD148" s="363"/>
      <c r="BE148" s="364"/>
      <c r="BF148" s="326"/>
      <c r="BG148" s="363"/>
      <c r="BH148" s="364"/>
      <c r="BI148" s="326"/>
      <c r="BJ148" s="363"/>
      <c r="BK148" s="364"/>
      <c r="BL148" s="334"/>
      <c r="BM148" s="407"/>
      <c r="BO148" s="363"/>
      <c r="BP148" s="364"/>
      <c r="BQ148" s="326"/>
      <c r="BR148" s="363"/>
      <c r="BS148" s="364"/>
      <c r="BT148" s="326"/>
      <c r="BU148" s="363"/>
      <c r="BV148" s="364"/>
      <c r="BW148" s="326"/>
      <c r="BX148" s="363"/>
      <c r="BY148" s="364"/>
      <c r="BZ148" s="334"/>
      <c r="CA148" s="407"/>
    </row>
    <row r="149" spans="2:79" ht="36.75" customHeight="1" thickBot="1" x14ac:dyDescent="0.3">
      <c r="B149" s="853"/>
      <c r="C149" s="814" t="s">
        <v>809</v>
      </c>
      <c r="D149" s="815"/>
      <c r="E149" s="815"/>
      <c r="F149" s="816"/>
      <c r="G149" s="387"/>
      <c r="H149" s="367" t="s">
        <v>792</v>
      </c>
      <c r="I149" s="353">
        <f>SUM(I141:I148)/COUNT(I141:I148)</f>
        <v>0.97735018479643931</v>
      </c>
      <c r="J149" s="355">
        <f>SUM(J141:J148)/COUNT(J141:J148)</f>
        <v>0.24433754619910983</v>
      </c>
      <c r="K149" s="378"/>
      <c r="L149" s="367" t="s">
        <v>792</v>
      </c>
      <c r="M149" s="353">
        <f>SUM(M141:M148)/COUNT(M141:M148)</f>
        <v>0</v>
      </c>
      <c r="N149" s="355">
        <f>SUM(N141:N148)/COUNT(N141:N148)</f>
        <v>0.24433754619910983</v>
      </c>
      <c r="O149" s="378"/>
      <c r="P149" s="367" t="s">
        <v>792</v>
      </c>
      <c r="Q149" s="353">
        <f>SUM(Q141:Q148)/COUNT(Q141:Q148)</f>
        <v>0</v>
      </c>
      <c r="R149" s="355">
        <f>SUM(R141:R148)/COUNT(R141:R148)</f>
        <v>0.24433754619910983</v>
      </c>
      <c r="S149" s="378"/>
      <c r="T149" s="367" t="s">
        <v>792</v>
      </c>
      <c r="U149" s="353">
        <f>SUM(U141:U148)/COUNT(U141:U148)</f>
        <v>0</v>
      </c>
      <c r="V149" s="355">
        <f>SUM(V141:V148)/COUNT(V141:V148)</f>
        <v>0.24433754619910983</v>
      </c>
      <c r="W149" s="407"/>
      <c r="X149" s="372"/>
      <c r="Y149" s="363"/>
      <c r="Z149" s="364"/>
      <c r="AA149" s="326"/>
      <c r="AB149" s="363"/>
      <c r="AC149" s="364"/>
      <c r="AD149" s="326"/>
      <c r="AE149" s="363"/>
      <c r="AF149" s="364"/>
      <c r="AG149" s="326"/>
      <c r="AH149" s="363"/>
      <c r="AI149" s="364"/>
      <c r="AJ149" s="334"/>
      <c r="AK149" s="407"/>
      <c r="AL149" s="376"/>
      <c r="AM149" s="363"/>
      <c r="AN149" s="364"/>
      <c r="AO149" s="326"/>
      <c r="AP149" s="363"/>
      <c r="AQ149" s="364"/>
      <c r="AR149" s="326"/>
      <c r="AS149" s="363"/>
      <c r="AT149" s="364"/>
      <c r="AU149" s="326"/>
      <c r="AV149" s="363"/>
      <c r="AW149" s="364"/>
      <c r="AX149" s="334"/>
      <c r="AY149" s="407"/>
      <c r="BA149" s="363"/>
      <c r="BB149" s="364"/>
      <c r="BC149" s="326"/>
      <c r="BD149" s="363"/>
      <c r="BE149" s="364"/>
      <c r="BF149" s="326"/>
      <c r="BG149" s="363"/>
      <c r="BH149" s="364"/>
      <c r="BI149" s="326"/>
      <c r="BJ149" s="363"/>
      <c r="BK149" s="364"/>
      <c r="BL149" s="334"/>
      <c r="BM149" s="407"/>
      <c r="BO149" s="363"/>
      <c r="BP149" s="364"/>
      <c r="BQ149" s="326"/>
      <c r="BR149" s="363"/>
      <c r="BS149" s="364"/>
      <c r="BT149" s="326"/>
      <c r="BU149" s="363"/>
      <c r="BV149" s="364"/>
      <c r="BW149" s="326"/>
      <c r="BX149" s="363"/>
      <c r="BY149" s="364"/>
      <c r="BZ149" s="334"/>
      <c r="CA149" s="407"/>
    </row>
    <row r="150" spans="2:79" s="302" customFormat="1" ht="57" x14ac:dyDescent="0.25">
      <c r="B150" s="848"/>
      <c r="C150" s="844" t="s">
        <v>146</v>
      </c>
      <c r="D150" s="369" t="str">
        <f>+'Plan de Accion 2018'!F125</f>
        <v xml:space="preserve">Informes de respuestas a las acciones constitucionales  y de  tutelas </v>
      </c>
      <c r="E150" s="781" t="str">
        <f>+'Plan de Accion 2018'!B125</f>
        <v>Oficina Asesora Jurídica</v>
      </c>
      <c r="F150" s="370" t="str">
        <f>+'Plan de Accion 2018'!R125</f>
        <v># Tutela Tramitadas Oportunamente / # Tutelas Radicadas que Requieren Trámite</v>
      </c>
      <c r="G150" s="342"/>
      <c r="H150" s="327">
        <f>+'Plan de Accion 2018'!AA125</f>
        <v>0.24933884297520661</v>
      </c>
      <c r="I150" s="328">
        <f>+'Plan de Accion 2018'!BL125</f>
        <v>0.99735537190082646</v>
      </c>
      <c r="J150" s="330">
        <f>+'Plan de Accion 2018'!AE125</f>
        <v>0.24933884297520661</v>
      </c>
      <c r="K150" s="344"/>
      <c r="L150" s="327">
        <f>+'Plan de Accion 2018'!AK125</f>
        <v>0</v>
      </c>
      <c r="M150" s="328">
        <f>+'Plan de Accion 2018'!BN125</f>
        <v>0</v>
      </c>
      <c r="N150" s="330">
        <f>+'Plan de Accion 2018'!AO125</f>
        <v>0.24933884297520661</v>
      </c>
      <c r="O150" s="344"/>
      <c r="P150" s="327">
        <f>+'Plan de Accion 2018'!AU125</f>
        <v>0</v>
      </c>
      <c r="Q150" s="328">
        <f>+'Plan de Accion 2018'!BP125</f>
        <v>0</v>
      </c>
      <c r="R150" s="330">
        <f>+'Plan de Accion 2018'!AY125</f>
        <v>0.24933884297520661</v>
      </c>
      <c r="S150" s="344"/>
      <c r="T150" s="327">
        <f>+'Plan de Accion 2018'!BE125</f>
        <v>0</v>
      </c>
      <c r="U150" s="328">
        <f>+'Plan de Accion 2018'!BR125</f>
        <v>0</v>
      </c>
      <c r="V150" s="330">
        <f>+'Plan de Accion 2018'!BI125</f>
        <v>0.24933884297520661</v>
      </c>
      <c r="W150" s="410"/>
      <c r="X150" s="382"/>
      <c r="Y150" s="411"/>
      <c r="Z150" s="412"/>
      <c r="AA150" s="326"/>
      <c r="AB150" s="411"/>
      <c r="AC150" s="412"/>
      <c r="AD150" s="326"/>
      <c r="AE150" s="411"/>
      <c r="AF150" s="412"/>
      <c r="AG150" s="326"/>
      <c r="AH150" s="411"/>
      <c r="AI150" s="412"/>
      <c r="AJ150" s="413"/>
      <c r="AK150" s="410"/>
      <c r="AL150" s="385"/>
      <c r="AM150" s="411"/>
      <c r="AN150" s="412"/>
      <c r="AO150" s="326"/>
      <c r="AP150" s="411"/>
      <c r="AQ150" s="412"/>
      <c r="AR150" s="326"/>
      <c r="AS150" s="411"/>
      <c r="AT150" s="412"/>
      <c r="AU150" s="326"/>
      <c r="AV150" s="411"/>
      <c r="AW150" s="412"/>
      <c r="AX150" s="413"/>
      <c r="AY150" s="410"/>
      <c r="BA150" s="411"/>
      <c r="BB150" s="412"/>
      <c r="BC150" s="326"/>
      <c r="BD150" s="411"/>
      <c r="BE150" s="412"/>
      <c r="BF150" s="326"/>
      <c r="BG150" s="411"/>
      <c r="BH150" s="412"/>
      <c r="BI150" s="326"/>
      <c r="BJ150" s="411"/>
      <c r="BK150" s="412"/>
      <c r="BL150" s="413"/>
      <c r="BM150" s="410"/>
      <c r="BO150" s="411"/>
      <c r="BP150" s="412"/>
      <c r="BQ150" s="326"/>
      <c r="BR150" s="411"/>
      <c r="BS150" s="412"/>
      <c r="BT150" s="326"/>
      <c r="BU150" s="411"/>
      <c r="BV150" s="412"/>
      <c r="BW150" s="326"/>
      <c r="BX150" s="411"/>
      <c r="BY150" s="412"/>
      <c r="BZ150" s="413"/>
      <c r="CA150" s="410"/>
    </row>
    <row r="151" spans="2:79" s="302" customFormat="1" ht="57" x14ac:dyDescent="0.25">
      <c r="B151" s="848"/>
      <c r="C151" s="844"/>
      <c r="D151" s="339" t="str">
        <f>+'Plan de Accion 2018'!F126</f>
        <v>Representación  judicial - Demandas Laborales</v>
      </c>
      <c r="E151" s="781"/>
      <c r="F151" s="365" t="str">
        <f>+'Plan de Accion 2018'!R126</f>
        <v># Demandas Laborales Contestadas Oportunamente / # Demandas Laborales Notificadas a la Entidad</v>
      </c>
      <c r="G151" s="342"/>
      <c r="H151" s="336">
        <f>+'Plan de Accion 2018'!AA126</f>
        <v>0.25</v>
      </c>
      <c r="I151" s="337">
        <f>+'Plan de Accion 2018'!BL126</f>
        <v>1</v>
      </c>
      <c r="J151" s="330">
        <f>+'Plan de Accion 2018'!AE126</f>
        <v>0.25</v>
      </c>
      <c r="K151" s="344"/>
      <c r="L151" s="336">
        <f>+'Plan de Accion 2018'!AK126</f>
        <v>0</v>
      </c>
      <c r="M151" s="337">
        <f>+'Plan de Accion 2018'!BN126</f>
        <v>0</v>
      </c>
      <c r="N151" s="338">
        <f>+'Plan de Accion 2018'!AO126</f>
        <v>0.25</v>
      </c>
      <c r="O151" s="344"/>
      <c r="P151" s="336">
        <f>+'Plan de Accion 2018'!AU126</f>
        <v>0</v>
      </c>
      <c r="Q151" s="337">
        <f>+'Plan de Accion 2018'!BP126</f>
        <v>0</v>
      </c>
      <c r="R151" s="338">
        <f>+'Plan de Accion 2018'!AY126</f>
        <v>0.25</v>
      </c>
      <c r="S151" s="344"/>
      <c r="T151" s="336">
        <f>+'Plan de Accion 2018'!BE126</f>
        <v>0</v>
      </c>
      <c r="U151" s="337">
        <f>+'Plan de Accion 2018'!BR126</f>
        <v>0</v>
      </c>
      <c r="V151" s="338">
        <f>+'Plan de Accion 2018'!BI126</f>
        <v>0.25</v>
      </c>
      <c r="W151" s="410"/>
      <c r="X151" s="382"/>
      <c r="Y151" s="411"/>
      <c r="Z151" s="412"/>
      <c r="AA151" s="326"/>
      <c r="AB151" s="411"/>
      <c r="AC151" s="412"/>
      <c r="AD151" s="326"/>
      <c r="AE151" s="411"/>
      <c r="AF151" s="412"/>
      <c r="AG151" s="326"/>
      <c r="AH151" s="411"/>
      <c r="AI151" s="412"/>
      <c r="AJ151" s="413"/>
      <c r="AK151" s="410"/>
      <c r="AL151" s="385"/>
      <c r="AM151" s="411"/>
      <c r="AN151" s="412"/>
      <c r="AO151" s="326"/>
      <c r="AP151" s="411"/>
      <c r="AQ151" s="412"/>
      <c r="AR151" s="326"/>
      <c r="AS151" s="411"/>
      <c r="AT151" s="412"/>
      <c r="AU151" s="326"/>
      <c r="AV151" s="411"/>
      <c r="AW151" s="412"/>
      <c r="AX151" s="413"/>
      <c r="AY151" s="410"/>
      <c r="BA151" s="411"/>
      <c r="BB151" s="412"/>
      <c r="BC151" s="326"/>
      <c r="BD151" s="411"/>
      <c r="BE151" s="412"/>
      <c r="BF151" s="326"/>
      <c r="BG151" s="411"/>
      <c r="BH151" s="412"/>
      <c r="BI151" s="326"/>
      <c r="BJ151" s="411"/>
      <c r="BK151" s="412"/>
      <c r="BL151" s="413"/>
      <c r="BM151" s="410"/>
      <c r="BO151" s="411"/>
      <c r="BP151" s="412"/>
      <c r="BQ151" s="326"/>
      <c r="BR151" s="411"/>
      <c r="BS151" s="412"/>
      <c r="BT151" s="326"/>
      <c r="BU151" s="411"/>
      <c r="BV151" s="412"/>
      <c r="BW151" s="326"/>
      <c r="BX151" s="411"/>
      <c r="BY151" s="412"/>
      <c r="BZ151" s="413"/>
      <c r="CA151" s="410"/>
    </row>
    <row r="152" spans="2:79" s="302" customFormat="1" ht="71.25" x14ac:dyDescent="0.25">
      <c r="B152" s="848"/>
      <c r="C152" s="844"/>
      <c r="D152" s="339" t="str">
        <f>+'Plan de Accion 2018'!F127</f>
        <v>Representación  judicial - Procesos Administrativos</v>
      </c>
      <c r="E152" s="781"/>
      <c r="F152" s="365" t="str">
        <f>+'Plan de Accion 2018'!R127</f>
        <v># Procesos contenciosos administrativos contestados oportunamente / # Procesos contenciosos administrativos notificados a la Entidad</v>
      </c>
      <c r="G152" s="342"/>
      <c r="H152" s="336">
        <f>+'Plan de Accion 2018'!AA127</f>
        <v>5.9523809523809521E-2</v>
      </c>
      <c r="I152" s="337">
        <f>+'Plan de Accion 2018'!BL127</f>
        <v>0.23809523809523808</v>
      </c>
      <c r="J152" s="330">
        <f>+'Plan de Accion 2018'!AE127</f>
        <v>5.9523809523809521E-2</v>
      </c>
      <c r="K152" s="344"/>
      <c r="L152" s="336">
        <f>+'Plan de Accion 2018'!AK127</f>
        <v>0</v>
      </c>
      <c r="M152" s="337">
        <f>+'Plan de Accion 2018'!BN127</f>
        <v>0</v>
      </c>
      <c r="N152" s="338">
        <f>+'Plan de Accion 2018'!AO127</f>
        <v>5.9523809523809521E-2</v>
      </c>
      <c r="O152" s="344"/>
      <c r="P152" s="336">
        <f>+'Plan de Accion 2018'!AU127</f>
        <v>0</v>
      </c>
      <c r="Q152" s="337">
        <f>+'Plan de Accion 2018'!BP127</f>
        <v>0</v>
      </c>
      <c r="R152" s="338">
        <f>+'Plan de Accion 2018'!AY127</f>
        <v>5.9523809523809521E-2</v>
      </c>
      <c r="S152" s="344"/>
      <c r="T152" s="336">
        <f>+'Plan de Accion 2018'!BE127</f>
        <v>0</v>
      </c>
      <c r="U152" s="337">
        <f>+'Plan de Accion 2018'!BR127</f>
        <v>0</v>
      </c>
      <c r="V152" s="338">
        <f>+'Plan de Accion 2018'!BI127</f>
        <v>5.9523809523809521E-2</v>
      </c>
      <c r="W152" s="410"/>
      <c r="X152" s="382"/>
      <c r="Y152" s="411"/>
      <c r="Z152" s="412"/>
      <c r="AA152" s="326"/>
      <c r="AB152" s="411"/>
      <c r="AC152" s="412"/>
      <c r="AD152" s="326"/>
      <c r="AE152" s="411"/>
      <c r="AF152" s="412"/>
      <c r="AG152" s="326"/>
      <c r="AH152" s="411"/>
      <c r="AI152" s="412"/>
      <c r="AJ152" s="413"/>
      <c r="AK152" s="410"/>
      <c r="AL152" s="385"/>
      <c r="AM152" s="411"/>
      <c r="AN152" s="412"/>
      <c r="AO152" s="326"/>
      <c r="AP152" s="411"/>
      <c r="AQ152" s="412"/>
      <c r="AR152" s="326"/>
      <c r="AS152" s="411"/>
      <c r="AT152" s="412"/>
      <c r="AU152" s="326"/>
      <c r="AV152" s="411"/>
      <c r="AW152" s="412"/>
      <c r="AX152" s="413"/>
      <c r="AY152" s="410"/>
      <c r="BA152" s="411"/>
      <c r="BB152" s="412"/>
      <c r="BC152" s="326"/>
      <c r="BD152" s="411"/>
      <c r="BE152" s="412"/>
      <c r="BF152" s="326"/>
      <c r="BG152" s="411"/>
      <c r="BH152" s="412"/>
      <c r="BI152" s="326"/>
      <c r="BJ152" s="411"/>
      <c r="BK152" s="412"/>
      <c r="BL152" s="413"/>
      <c r="BM152" s="410"/>
      <c r="BO152" s="411"/>
      <c r="BP152" s="412"/>
      <c r="BQ152" s="326"/>
      <c r="BR152" s="411"/>
      <c r="BS152" s="412"/>
      <c r="BT152" s="326"/>
      <c r="BU152" s="411"/>
      <c r="BV152" s="412"/>
      <c r="BW152" s="326"/>
      <c r="BX152" s="411"/>
      <c r="BY152" s="412"/>
      <c r="BZ152" s="413"/>
      <c r="CA152" s="410"/>
    </row>
    <row r="153" spans="2:79" s="302" customFormat="1" ht="57" x14ac:dyDescent="0.25">
      <c r="B153" s="848"/>
      <c r="C153" s="844"/>
      <c r="D153" s="339" t="str">
        <f>+'Plan de Accion 2018'!F128</f>
        <v>Respuesta y trámite de pruebas atendidas</v>
      </c>
      <c r="E153" s="781"/>
      <c r="F153" s="365" t="str">
        <f>+'Plan de Accion 2018'!R128</f>
        <v># Solicitudes de pruebas atendidas / # Solicitudes de pruebas radicadas en la Entidad</v>
      </c>
      <c r="G153" s="342"/>
      <c r="H153" s="336">
        <f>+'Plan de Accion 2018'!AA128</f>
        <v>0.2483108108108108</v>
      </c>
      <c r="I153" s="337">
        <f>+'Plan de Accion 2018'!BL128</f>
        <v>0.9932432432432432</v>
      </c>
      <c r="J153" s="330">
        <f>+'Plan de Accion 2018'!AE128</f>
        <v>0.2483108108108108</v>
      </c>
      <c r="K153" s="344"/>
      <c r="L153" s="336">
        <f>+'Plan de Accion 2018'!AK128</f>
        <v>0</v>
      </c>
      <c r="M153" s="337">
        <f>+'Plan de Accion 2018'!BN128</f>
        <v>0</v>
      </c>
      <c r="N153" s="338">
        <f>+'Plan de Accion 2018'!AO128</f>
        <v>0.2483108108108108</v>
      </c>
      <c r="O153" s="344"/>
      <c r="P153" s="336">
        <f>+'Plan de Accion 2018'!AU128</f>
        <v>0</v>
      </c>
      <c r="Q153" s="337">
        <f>+'Plan de Accion 2018'!BP128</f>
        <v>0</v>
      </c>
      <c r="R153" s="338">
        <f>+'Plan de Accion 2018'!AY128</f>
        <v>0.2483108108108108</v>
      </c>
      <c r="S153" s="344"/>
      <c r="T153" s="336">
        <f>+'Plan de Accion 2018'!BE128</f>
        <v>0</v>
      </c>
      <c r="U153" s="337">
        <f>+'Plan de Accion 2018'!BR128</f>
        <v>0</v>
      </c>
      <c r="V153" s="338">
        <f>+'Plan de Accion 2018'!BI128</f>
        <v>0.2483108108108108</v>
      </c>
      <c r="W153" s="410"/>
      <c r="X153" s="382"/>
      <c r="Y153" s="411"/>
      <c r="Z153" s="412"/>
      <c r="AA153" s="326"/>
      <c r="AB153" s="411"/>
      <c r="AC153" s="412"/>
      <c r="AD153" s="326"/>
      <c r="AE153" s="411"/>
      <c r="AF153" s="412"/>
      <c r="AG153" s="326"/>
      <c r="AH153" s="411"/>
      <c r="AI153" s="412"/>
      <c r="AJ153" s="413"/>
      <c r="AK153" s="410"/>
      <c r="AL153" s="385"/>
      <c r="AM153" s="411"/>
      <c r="AN153" s="412"/>
      <c r="AO153" s="326"/>
      <c r="AP153" s="411"/>
      <c r="AQ153" s="412"/>
      <c r="AR153" s="326"/>
      <c r="AS153" s="411"/>
      <c r="AT153" s="412"/>
      <c r="AU153" s="326"/>
      <c r="AV153" s="411"/>
      <c r="AW153" s="412"/>
      <c r="AX153" s="413"/>
      <c r="AY153" s="410"/>
      <c r="BA153" s="411"/>
      <c r="BB153" s="412"/>
      <c r="BC153" s="326"/>
      <c r="BD153" s="411"/>
      <c r="BE153" s="412"/>
      <c r="BF153" s="326"/>
      <c r="BG153" s="411"/>
      <c r="BH153" s="412"/>
      <c r="BI153" s="326"/>
      <c r="BJ153" s="411"/>
      <c r="BK153" s="412"/>
      <c r="BL153" s="413"/>
      <c r="BM153" s="410"/>
      <c r="BO153" s="411"/>
      <c r="BP153" s="412"/>
      <c r="BQ153" s="326"/>
      <c r="BR153" s="411"/>
      <c r="BS153" s="412"/>
      <c r="BT153" s="326"/>
      <c r="BU153" s="411"/>
      <c r="BV153" s="412"/>
      <c r="BW153" s="326"/>
      <c r="BX153" s="411"/>
      <c r="BY153" s="412"/>
      <c r="BZ153" s="413"/>
      <c r="CA153" s="410"/>
    </row>
    <row r="154" spans="2:79" s="302" customFormat="1" ht="128.25" x14ac:dyDescent="0.25">
      <c r="B154" s="848"/>
      <c r="C154" s="844"/>
      <c r="D154" s="339" t="str">
        <f>+'Plan de Accion 2018'!F132</f>
        <v xml:space="preserve">Atender las reclamaciones administrativas </v>
      </c>
      <c r="E154" s="781"/>
      <c r="F154" s="365" t="str">
        <f>+'Plan de Accion 2018'!R132</f>
        <v># Reclamaciones administrativas atendidas en el periodo de acuerdo con los plazos establecidos (1 mes) / # Reclamaciones administrativas radicadas en la Entidad con una antelación de un mes a la finalización del periodo</v>
      </c>
      <c r="G154" s="342"/>
      <c r="H154" s="336">
        <f>+'Plan de Accion 2018'!AA132</f>
        <v>0.24621212121212122</v>
      </c>
      <c r="I154" s="337">
        <f>+'Plan de Accion 2018'!BL132</f>
        <v>0.98484848484848486</v>
      </c>
      <c r="J154" s="330">
        <f>+'Plan de Accion 2018'!AE132</f>
        <v>0.24621212121212122</v>
      </c>
      <c r="K154" s="344"/>
      <c r="L154" s="336">
        <f>+'Plan de Accion 2018'!AK132</f>
        <v>0</v>
      </c>
      <c r="M154" s="337">
        <f>+'Plan de Accion 2018'!BN132</f>
        <v>0</v>
      </c>
      <c r="N154" s="338">
        <f>+'Plan de Accion 2018'!AO132</f>
        <v>0.24621212121212122</v>
      </c>
      <c r="O154" s="344"/>
      <c r="P154" s="336">
        <f>+'Plan de Accion 2018'!AU132</f>
        <v>0</v>
      </c>
      <c r="Q154" s="337">
        <f>+'Plan de Accion 2018'!BP132</f>
        <v>0</v>
      </c>
      <c r="R154" s="338">
        <f>+'Plan de Accion 2018'!AY132</f>
        <v>0.24621212121212122</v>
      </c>
      <c r="S154" s="344"/>
      <c r="T154" s="336">
        <f>+'Plan de Accion 2018'!BE132</f>
        <v>0</v>
      </c>
      <c r="U154" s="337">
        <f>+'Plan de Accion 2018'!BR132</f>
        <v>0</v>
      </c>
      <c r="V154" s="338">
        <f>+'Plan de Accion 2018'!BI132</f>
        <v>0.24621212121212122</v>
      </c>
      <c r="W154" s="410"/>
      <c r="X154" s="382"/>
      <c r="Y154" s="411"/>
      <c r="Z154" s="412"/>
      <c r="AA154" s="326"/>
      <c r="AB154" s="411"/>
      <c r="AC154" s="412"/>
      <c r="AD154" s="326"/>
      <c r="AE154" s="411"/>
      <c r="AF154" s="412"/>
      <c r="AG154" s="326"/>
      <c r="AH154" s="411"/>
      <c r="AI154" s="412"/>
      <c r="AJ154" s="413"/>
      <c r="AK154" s="410"/>
      <c r="AL154" s="385"/>
      <c r="AM154" s="411"/>
      <c r="AN154" s="412"/>
      <c r="AO154" s="326"/>
      <c r="AP154" s="411"/>
      <c r="AQ154" s="412"/>
      <c r="AR154" s="326"/>
      <c r="AS154" s="411"/>
      <c r="AT154" s="412"/>
      <c r="AU154" s="326"/>
      <c r="AV154" s="411"/>
      <c r="AW154" s="412"/>
      <c r="AX154" s="413"/>
      <c r="AY154" s="410"/>
      <c r="BA154" s="411"/>
      <c r="BB154" s="412"/>
      <c r="BC154" s="326"/>
      <c r="BD154" s="411"/>
      <c r="BE154" s="412"/>
      <c r="BF154" s="326"/>
      <c r="BG154" s="411"/>
      <c r="BH154" s="412"/>
      <c r="BI154" s="326"/>
      <c r="BJ154" s="411"/>
      <c r="BK154" s="412"/>
      <c r="BL154" s="413"/>
      <c r="BM154" s="410"/>
      <c r="BO154" s="411"/>
      <c r="BP154" s="412"/>
      <c r="BQ154" s="326"/>
      <c r="BR154" s="411"/>
      <c r="BS154" s="412"/>
      <c r="BT154" s="326"/>
      <c r="BU154" s="411"/>
      <c r="BV154" s="412"/>
      <c r="BW154" s="326"/>
      <c r="BX154" s="411"/>
      <c r="BY154" s="412"/>
      <c r="BZ154" s="413"/>
      <c r="CA154" s="410"/>
    </row>
    <row r="155" spans="2:79" s="302" customFormat="1" ht="99.75" x14ac:dyDescent="0.25">
      <c r="B155" s="848"/>
      <c r="C155" s="844"/>
      <c r="D155" s="339" t="str">
        <f>+'Plan de Accion 2018'!F133</f>
        <v>Recurrir los Actos Administrativos interpuestos por COLPENSIONES</v>
      </c>
      <c r="E155" s="781"/>
      <c r="F155" s="365" t="str">
        <f>+'Plan de Accion 2018'!R133</f>
        <v># Recursos interpuestos oportunamente contra actos administrativos expedidos por Colpensiones / # Actos administrativos expedidos por Colpensiones notificados por aviso a la Entidad</v>
      </c>
      <c r="G155" s="342"/>
      <c r="H155" s="336">
        <f>+'Plan de Accion 2018'!AA133</f>
        <v>0.24251497005988024</v>
      </c>
      <c r="I155" s="337">
        <f>+'Plan de Accion 2018'!BL133</f>
        <v>0.97005988023952094</v>
      </c>
      <c r="J155" s="330">
        <f>+'Plan de Accion 2018'!AE133</f>
        <v>0.24251497005988024</v>
      </c>
      <c r="K155" s="344"/>
      <c r="L155" s="336">
        <f>+'Plan de Accion 2018'!AK133</f>
        <v>0</v>
      </c>
      <c r="M155" s="337">
        <f>+'Plan de Accion 2018'!BN133</f>
        <v>0</v>
      </c>
      <c r="N155" s="338">
        <f>+'Plan de Accion 2018'!AO133</f>
        <v>0.24251497005988024</v>
      </c>
      <c r="O155" s="344"/>
      <c r="P155" s="336">
        <f>+'Plan de Accion 2018'!AU133</f>
        <v>0</v>
      </c>
      <c r="Q155" s="337">
        <f>+'Plan de Accion 2018'!BP133</f>
        <v>0</v>
      </c>
      <c r="R155" s="338">
        <f>+'Plan de Accion 2018'!AY133</f>
        <v>0.24251497005988024</v>
      </c>
      <c r="S155" s="344"/>
      <c r="T155" s="336">
        <f>+'Plan de Accion 2018'!BE133</f>
        <v>0</v>
      </c>
      <c r="U155" s="337">
        <f>+'Plan de Accion 2018'!BR133</f>
        <v>0</v>
      </c>
      <c r="V155" s="338">
        <f>+'Plan de Accion 2018'!BI133</f>
        <v>0.24251497005988024</v>
      </c>
      <c r="W155" s="410"/>
      <c r="X155" s="382"/>
      <c r="Y155" s="411"/>
      <c r="Z155" s="412"/>
      <c r="AA155" s="326"/>
      <c r="AB155" s="411"/>
      <c r="AC155" s="412"/>
      <c r="AD155" s="326"/>
      <c r="AE155" s="411"/>
      <c r="AF155" s="412"/>
      <c r="AG155" s="326"/>
      <c r="AH155" s="411"/>
      <c r="AI155" s="412"/>
      <c r="AJ155" s="413"/>
      <c r="AK155" s="410"/>
      <c r="AL155" s="385"/>
      <c r="AM155" s="411"/>
      <c r="AN155" s="412"/>
      <c r="AO155" s="326"/>
      <c r="AP155" s="411"/>
      <c r="AQ155" s="412"/>
      <c r="AR155" s="326"/>
      <c r="AS155" s="411"/>
      <c r="AT155" s="412"/>
      <c r="AU155" s="326"/>
      <c r="AV155" s="411"/>
      <c r="AW155" s="412"/>
      <c r="AX155" s="413"/>
      <c r="AY155" s="410"/>
      <c r="BA155" s="411"/>
      <c r="BB155" s="412"/>
      <c r="BC155" s="326"/>
      <c r="BD155" s="411"/>
      <c r="BE155" s="412"/>
      <c r="BF155" s="326"/>
      <c r="BG155" s="411"/>
      <c r="BH155" s="412"/>
      <c r="BI155" s="326"/>
      <c r="BJ155" s="411"/>
      <c r="BK155" s="412"/>
      <c r="BL155" s="413"/>
      <c r="BM155" s="410"/>
      <c r="BO155" s="411"/>
      <c r="BP155" s="412"/>
      <c r="BQ155" s="326"/>
      <c r="BR155" s="411"/>
      <c r="BS155" s="412"/>
      <c r="BT155" s="326"/>
      <c r="BU155" s="411"/>
      <c r="BV155" s="412"/>
      <c r="BW155" s="326"/>
      <c r="BX155" s="411"/>
      <c r="BY155" s="412"/>
      <c r="BZ155" s="413"/>
      <c r="CA155" s="410"/>
    </row>
    <row r="156" spans="2:79" s="302" customFormat="1" ht="71.25" x14ac:dyDescent="0.25">
      <c r="B156" s="848"/>
      <c r="C156" s="844"/>
      <c r="D156" s="339" t="str">
        <f>+'Plan de Accion 2018'!F134</f>
        <v>Trámites de Embargos</v>
      </c>
      <c r="E156" s="781"/>
      <c r="F156" s="365" t="str">
        <f>+'Plan de Accion 2018'!R134</f>
        <v># Solicitudes de embargo tramitadas oportunamente / # Solicitudes de embargo radicadas en la Entidad dentro del periodo</v>
      </c>
      <c r="G156" s="342"/>
      <c r="H156" s="336">
        <f>+'Plan de Accion 2018'!AA134</f>
        <v>0.25</v>
      </c>
      <c r="I156" s="337">
        <f>+'Plan de Accion 2018'!BL134</f>
        <v>1</v>
      </c>
      <c r="J156" s="330">
        <f>+'Plan de Accion 2018'!AE134</f>
        <v>0.25</v>
      </c>
      <c r="K156" s="344"/>
      <c r="L156" s="336">
        <f>+'Plan de Accion 2018'!AK134</f>
        <v>0</v>
      </c>
      <c r="M156" s="337">
        <f>+'Plan de Accion 2018'!BN134</f>
        <v>0</v>
      </c>
      <c r="N156" s="338">
        <f>+'Plan de Accion 2018'!AO134</f>
        <v>0.25</v>
      </c>
      <c r="O156" s="344"/>
      <c r="P156" s="336">
        <f>+'Plan de Accion 2018'!AU134</f>
        <v>0</v>
      </c>
      <c r="Q156" s="337">
        <f>+'Plan de Accion 2018'!BP134</f>
        <v>0</v>
      </c>
      <c r="R156" s="338">
        <f>+'Plan de Accion 2018'!AY134</f>
        <v>0.25</v>
      </c>
      <c r="S156" s="344"/>
      <c r="T156" s="336">
        <f>+'Plan de Accion 2018'!BE134</f>
        <v>0</v>
      </c>
      <c r="U156" s="337">
        <f>+'Plan de Accion 2018'!BR134</f>
        <v>0</v>
      </c>
      <c r="V156" s="338">
        <f>+'Plan de Accion 2018'!BI134</f>
        <v>0.25</v>
      </c>
      <c r="W156" s="410"/>
      <c r="X156" s="382"/>
      <c r="Y156" s="411"/>
      <c r="Z156" s="412"/>
      <c r="AA156" s="326"/>
      <c r="AB156" s="411"/>
      <c r="AC156" s="412"/>
      <c r="AD156" s="326"/>
      <c r="AE156" s="411"/>
      <c r="AF156" s="412"/>
      <c r="AG156" s="326"/>
      <c r="AH156" s="411"/>
      <c r="AI156" s="412"/>
      <c r="AJ156" s="413"/>
      <c r="AK156" s="410"/>
      <c r="AL156" s="385"/>
      <c r="AM156" s="411"/>
      <c r="AN156" s="412"/>
      <c r="AO156" s="326"/>
      <c r="AP156" s="411"/>
      <c r="AQ156" s="412"/>
      <c r="AR156" s="326"/>
      <c r="AS156" s="411"/>
      <c r="AT156" s="412"/>
      <c r="AU156" s="326"/>
      <c r="AV156" s="411"/>
      <c r="AW156" s="412"/>
      <c r="AX156" s="413"/>
      <c r="AY156" s="410"/>
      <c r="BA156" s="411"/>
      <c r="BB156" s="412"/>
      <c r="BC156" s="326"/>
      <c r="BD156" s="411"/>
      <c r="BE156" s="412"/>
      <c r="BF156" s="326"/>
      <c r="BG156" s="411"/>
      <c r="BH156" s="412"/>
      <c r="BI156" s="326"/>
      <c r="BJ156" s="411"/>
      <c r="BK156" s="412"/>
      <c r="BL156" s="413"/>
      <c r="BM156" s="410"/>
      <c r="BO156" s="411"/>
      <c r="BP156" s="412"/>
      <c r="BQ156" s="326"/>
      <c r="BR156" s="411"/>
      <c r="BS156" s="412"/>
      <c r="BT156" s="326"/>
      <c r="BU156" s="411"/>
      <c r="BV156" s="412"/>
      <c r="BW156" s="326"/>
      <c r="BX156" s="411"/>
      <c r="BY156" s="412"/>
      <c r="BZ156" s="413"/>
      <c r="CA156" s="410"/>
    </row>
    <row r="157" spans="2:79" s="302" customFormat="1" ht="85.5" x14ac:dyDescent="0.25">
      <c r="B157" s="848"/>
      <c r="C157" s="844"/>
      <c r="D157" s="858" t="str">
        <f>+'Plan de Accion 2018'!F137</f>
        <v>Depuración de Cartera FOSYGA y/o ADRES</v>
      </c>
      <c r="E157" s="781"/>
      <c r="F157" s="365" t="str">
        <f>+'Plan de Accion 2018'!R137</f>
        <v xml:space="preserve"># Reclamaciones Vendidas con mora mayor a 180 días / Reclamaciones contenidas actos administrativos ejecutoriados con mora mayor a 180 días </v>
      </c>
      <c r="G157" s="342"/>
      <c r="H157" s="336">
        <f>+'Plan de Accion 2018'!AA137</f>
        <v>0</v>
      </c>
      <c r="I157" s="337">
        <f>+'Plan de Accion 2018'!BL137</f>
        <v>0</v>
      </c>
      <c r="J157" s="330">
        <f>+'Plan de Accion 2018'!AE137</f>
        <v>0</v>
      </c>
      <c r="K157" s="344"/>
      <c r="L157" s="336">
        <f>+'Plan de Accion 2018'!AK137</f>
        <v>0</v>
      </c>
      <c r="M157" s="337">
        <f>+'Plan de Accion 2018'!BN137</f>
        <v>0</v>
      </c>
      <c r="N157" s="338">
        <f>+'Plan de Accion 2018'!AO137</f>
        <v>0</v>
      </c>
      <c r="O157" s="344"/>
      <c r="P157" s="336">
        <f>+'Plan de Accion 2018'!AU137</f>
        <v>0</v>
      </c>
      <c r="Q157" s="337" t="str">
        <f>+'Plan de Accion 2018'!BP137</f>
        <v>No Prog ni Ejec</v>
      </c>
      <c r="R157" s="338">
        <f>+'Plan de Accion 2018'!AY137</f>
        <v>0</v>
      </c>
      <c r="S157" s="344"/>
      <c r="T157" s="336">
        <f>+'Plan de Accion 2018'!BE137</f>
        <v>0</v>
      </c>
      <c r="U157" s="337" t="str">
        <f>+'Plan de Accion 2018'!BR137</f>
        <v>No Prog ni Ejec</v>
      </c>
      <c r="V157" s="338">
        <f>+'Plan de Accion 2018'!BI137</f>
        <v>0</v>
      </c>
      <c r="W157" s="410"/>
      <c r="X157" s="382"/>
      <c r="Y157" s="411"/>
      <c r="Z157" s="412"/>
      <c r="AA157" s="326"/>
      <c r="AB157" s="411"/>
      <c r="AC157" s="412"/>
      <c r="AD157" s="326"/>
      <c r="AE157" s="411"/>
      <c r="AF157" s="412"/>
      <c r="AG157" s="326"/>
      <c r="AH157" s="411"/>
      <c r="AI157" s="412"/>
      <c r="AJ157" s="413"/>
      <c r="AK157" s="410"/>
      <c r="AL157" s="385"/>
      <c r="AM157" s="411"/>
      <c r="AN157" s="412"/>
      <c r="AO157" s="326"/>
      <c r="AP157" s="411"/>
      <c r="AQ157" s="412"/>
      <c r="AR157" s="326"/>
      <c r="AS157" s="411"/>
      <c r="AT157" s="412"/>
      <c r="AU157" s="326"/>
      <c r="AV157" s="411"/>
      <c r="AW157" s="412"/>
      <c r="AX157" s="413"/>
      <c r="AY157" s="410"/>
      <c r="BA157" s="411"/>
      <c r="BB157" s="412"/>
      <c r="BC157" s="326"/>
      <c r="BD157" s="411"/>
      <c r="BE157" s="412"/>
      <c r="BF157" s="326"/>
      <c r="BG157" s="411"/>
      <c r="BH157" s="412"/>
      <c r="BI157" s="326"/>
      <c r="BJ157" s="411"/>
      <c r="BK157" s="412"/>
      <c r="BL157" s="413"/>
      <c r="BM157" s="410"/>
      <c r="BO157" s="411"/>
      <c r="BP157" s="412"/>
      <c r="BQ157" s="326"/>
      <c r="BR157" s="411"/>
      <c r="BS157" s="412"/>
      <c r="BT157" s="326"/>
      <c r="BU157" s="411"/>
      <c r="BV157" s="412"/>
      <c r="BW157" s="326"/>
      <c r="BX157" s="411"/>
      <c r="BY157" s="412"/>
      <c r="BZ157" s="413"/>
      <c r="CA157" s="410"/>
    </row>
    <row r="158" spans="2:79" s="302" customFormat="1" ht="71.25" x14ac:dyDescent="0.2">
      <c r="B158" s="848"/>
      <c r="C158" s="844"/>
      <c r="D158" s="783"/>
      <c r="E158" s="781"/>
      <c r="F158" s="365" t="str">
        <f>+'Plan de Accion 2018'!R139</f>
        <v># de actos administrativos proferidos / # fallecidos, incobrables, cancelados y revocados resultado del proceso de depuración</v>
      </c>
      <c r="G158" s="301"/>
      <c r="H158" s="336">
        <f>+'Plan de Accion 2018'!AA139</f>
        <v>0</v>
      </c>
      <c r="I158" s="337">
        <f>+'Plan de Accion 2018'!BL139</f>
        <v>0</v>
      </c>
      <c r="J158" s="330">
        <f>+'Plan de Accion 2018'!AE139</f>
        <v>0</v>
      </c>
      <c r="K158" s="344"/>
      <c r="L158" s="336">
        <f>+'Plan de Accion 2018'!AK139</f>
        <v>0</v>
      </c>
      <c r="M158" s="337">
        <f>+'Plan de Accion 2018'!BN139</f>
        <v>0</v>
      </c>
      <c r="N158" s="338">
        <f>+'Plan de Accion 2018'!AO139</f>
        <v>0</v>
      </c>
      <c r="O158" s="344"/>
      <c r="P158" s="336">
        <f>+'Plan de Accion 2018'!AU139</f>
        <v>0</v>
      </c>
      <c r="Q158" s="337">
        <f>+'Plan de Accion 2018'!BP139</f>
        <v>0</v>
      </c>
      <c r="R158" s="338">
        <f>+'Plan de Accion 2018'!AY139</f>
        <v>0</v>
      </c>
      <c r="S158" s="344"/>
      <c r="T158" s="336">
        <f>+'Plan de Accion 2018'!BE139</f>
        <v>0</v>
      </c>
      <c r="U158" s="337">
        <f>+'Plan de Accion 2018'!BR139</f>
        <v>0</v>
      </c>
      <c r="V158" s="338">
        <f>+'Plan de Accion 2018'!BI139</f>
        <v>0</v>
      </c>
      <c r="W158" s="410"/>
      <c r="X158" s="382"/>
      <c r="Y158" s="411"/>
      <c r="Z158" s="412"/>
      <c r="AA158" s="326"/>
      <c r="AB158" s="411"/>
      <c r="AC158" s="412"/>
      <c r="AD158" s="326"/>
      <c r="AE158" s="411"/>
      <c r="AF158" s="412"/>
      <c r="AG158" s="326"/>
      <c r="AH158" s="411"/>
      <c r="AI158" s="412"/>
      <c r="AJ158" s="413"/>
      <c r="AK158" s="410"/>
      <c r="AL158" s="385"/>
      <c r="AM158" s="411"/>
      <c r="AN158" s="412"/>
      <c r="AO158" s="326"/>
      <c r="AP158" s="411"/>
      <c r="AQ158" s="412"/>
      <c r="AR158" s="326"/>
      <c r="AS158" s="411"/>
      <c r="AT158" s="412"/>
      <c r="AU158" s="326"/>
      <c r="AV158" s="411"/>
      <c r="AW158" s="412"/>
      <c r="AX158" s="413"/>
      <c r="AY158" s="410"/>
      <c r="BA158" s="411"/>
      <c r="BB158" s="412"/>
      <c r="BC158" s="326"/>
      <c r="BD158" s="411"/>
      <c r="BE158" s="412"/>
      <c r="BF158" s="326"/>
      <c r="BG158" s="411"/>
      <c r="BH158" s="412"/>
      <c r="BI158" s="326"/>
      <c r="BJ158" s="411"/>
      <c r="BK158" s="412"/>
      <c r="BL158" s="413"/>
      <c r="BM158" s="410"/>
      <c r="BO158" s="411"/>
      <c r="BP158" s="412"/>
      <c r="BQ158" s="326"/>
      <c r="BR158" s="411"/>
      <c r="BS158" s="412"/>
      <c r="BT158" s="326"/>
      <c r="BU158" s="411"/>
      <c r="BV158" s="412"/>
      <c r="BW158" s="326"/>
      <c r="BX158" s="411"/>
      <c r="BY158" s="412"/>
      <c r="BZ158" s="413"/>
      <c r="CA158" s="410"/>
    </row>
    <row r="159" spans="2:79" s="302" customFormat="1" ht="71.25" x14ac:dyDescent="0.2">
      <c r="B159" s="848"/>
      <c r="C159" s="844"/>
      <c r="D159" s="783"/>
      <c r="E159" s="781"/>
      <c r="F159" s="365" t="str">
        <f>+'Plan de Accion 2018'!R146</f>
        <v># Actos Administrativos Expedidos / # Reclamaciones Pagadas por concepto de accidentes de transito sin SOAT</v>
      </c>
      <c r="G159" s="301"/>
      <c r="H159" s="336">
        <f>+'Plan de Accion 2018'!AA146</f>
        <v>0.16825000000000001</v>
      </c>
      <c r="I159" s="337">
        <f>+'Plan de Accion 2018'!BL146</f>
        <v>1.6825000000000001</v>
      </c>
      <c r="J159" s="330">
        <f>+'Plan de Accion 2018'!AE146</f>
        <v>0.16825000000000001</v>
      </c>
      <c r="K159" s="344"/>
      <c r="L159" s="336">
        <f>+'Plan de Accion 2018'!AK146</f>
        <v>0</v>
      </c>
      <c r="M159" s="337">
        <f>+'Plan de Accion 2018'!BN146</f>
        <v>0</v>
      </c>
      <c r="N159" s="338">
        <f>+'Plan de Accion 2018'!AO146</f>
        <v>0.16825000000000001</v>
      </c>
      <c r="O159" s="344"/>
      <c r="P159" s="336">
        <f>+'Plan de Accion 2018'!AU146</f>
        <v>0</v>
      </c>
      <c r="Q159" s="337">
        <f>+'Plan de Accion 2018'!BP146</f>
        <v>0</v>
      </c>
      <c r="R159" s="338">
        <f>+'Plan de Accion 2018'!AY146</f>
        <v>0.16825000000000001</v>
      </c>
      <c r="S159" s="344"/>
      <c r="T159" s="336">
        <f>+'Plan de Accion 2018'!BE146</f>
        <v>0</v>
      </c>
      <c r="U159" s="337">
        <f>+'Plan de Accion 2018'!BR146</f>
        <v>0</v>
      </c>
      <c r="V159" s="338">
        <f>+'Plan de Accion 2018'!BI146</f>
        <v>0.16825000000000001</v>
      </c>
      <c r="W159" s="410"/>
      <c r="X159" s="382"/>
      <c r="Y159" s="411"/>
      <c r="Z159" s="412"/>
      <c r="AA159" s="326"/>
      <c r="AB159" s="411"/>
      <c r="AC159" s="412"/>
      <c r="AD159" s="326"/>
      <c r="AE159" s="411"/>
      <c r="AF159" s="412"/>
      <c r="AG159" s="326"/>
      <c r="AH159" s="411"/>
      <c r="AI159" s="412"/>
      <c r="AJ159" s="413"/>
      <c r="AK159" s="410"/>
      <c r="AL159" s="385"/>
      <c r="AM159" s="411"/>
      <c r="AN159" s="412"/>
      <c r="AO159" s="326"/>
      <c r="AP159" s="411"/>
      <c r="AQ159" s="412"/>
      <c r="AR159" s="326"/>
      <c r="AS159" s="411"/>
      <c r="AT159" s="412"/>
      <c r="AU159" s="326"/>
      <c r="AV159" s="411"/>
      <c r="AW159" s="412"/>
      <c r="AX159" s="413"/>
      <c r="AY159" s="410"/>
      <c r="BA159" s="411"/>
      <c r="BB159" s="412"/>
      <c r="BC159" s="326"/>
      <c r="BD159" s="411"/>
      <c r="BE159" s="412"/>
      <c r="BF159" s="326"/>
      <c r="BG159" s="411"/>
      <c r="BH159" s="412"/>
      <c r="BI159" s="326"/>
      <c r="BJ159" s="411"/>
      <c r="BK159" s="412"/>
      <c r="BL159" s="413"/>
      <c r="BM159" s="410"/>
      <c r="BO159" s="411"/>
      <c r="BP159" s="412"/>
      <c r="BQ159" s="326"/>
      <c r="BR159" s="411"/>
      <c r="BS159" s="412"/>
      <c r="BT159" s="326"/>
      <c r="BU159" s="411"/>
      <c r="BV159" s="412"/>
      <c r="BW159" s="326"/>
      <c r="BX159" s="411"/>
      <c r="BY159" s="412"/>
      <c r="BZ159" s="413"/>
      <c r="CA159" s="410"/>
    </row>
    <row r="160" spans="2:79" s="302" customFormat="1" ht="43.5" thickBot="1" x14ac:dyDescent="0.25">
      <c r="B160" s="848"/>
      <c r="C160" s="844"/>
      <c r="D160" s="859"/>
      <c r="E160" s="781"/>
      <c r="F160" s="414" t="str">
        <f>+'Plan de Accion 2018'!R148</f>
        <v># Mandamientos de Pago / # de Actos Administrativos Ejecutoriados</v>
      </c>
      <c r="H160" s="348">
        <f>+'Plan de Accion 2018'!AA148</f>
        <v>0</v>
      </c>
      <c r="I160" s="349" t="str">
        <f>+'Plan de Accion 2018'!BL148</f>
        <v>No Prog ni Ejec</v>
      </c>
      <c r="J160" s="440">
        <f>+'Plan de Accion 2018'!AE148</f>
        <v>0</v>
      </c>
      <c r="K160" s="344"/>
      <c r="L160" s="348">
        <f>+'Plan de Accion 2018'!AK148</f>
        <v>0</v>
      </c>
      <c r="M160" s="349" t="str">
        <f>+'Plan de Accion 2018'!BN148</f>
        <v>No Prog ni Ejec</v>
      </c>
      <c r="N160" s="350">
        <f>+'Plan de Accion 2018'!AO148</f>
        <v>0</v>
      </c>
      <c r="O160" s="344"/>
      <c r="P160" s="348">
        <f>+'Plan de Accion 2018'!AU148</f>
        <v>0</v>
      </c>
      <c r="Q160" s="349">
        <f>+'Plan de Accion 2018'!BP148</f>
        <v>0</v>
      </c>
      <c r="R160" s="350">
        <f>+'Plan de Accion 2018'!AY148</f>
        <v>0</v>
      </c>
      <c r="S160" s="344"/>
      <c r="T160" s="348">
        <f>+'Plan de Accion 2018'!BE148</f>
        <v>0</v>
      </c>
      <c r="U160" s="349">
        <f>+'Plan de Accion 2018'!BR148</f>
        <v>0</v>
      </c>
      <c r="V160" s="350">
        <f>+'Plan de Accion 2018'!BI148</f>
        <v>0</v>
      </c>
      <c r="W160" s="410"/>
      <c r="X160" s="382"/>
      <c r="Y160" s="411"/>
      <c r="Z160" s="412"/>
      <c r="AA160" s="326"/>
      <c r="AB160" s="411"/>
      <c r="AC160" s="412"/>
      <c r="AD160" s="326"/>
      <c r="AE160" s="411"/>
      <c r="AF160" s="412"/>
      <c r="AG160" s="326"/>
      <c r="AH160" s="411"/>
      <c r="AI160" s="412"/>
      <c r="AJ160" s="413"/>
      <c r="AK160" s="410"/>
      <c r="AL160" s="385"/>
      <c r="AM160" s="411"/>
      <c r="AN160" s="412"/>
      <c r="AO160" s="326"/>
      <c r="AP160" s="411"/>
      <c r="AQ160" s="412"/>
      <c r="AR160" s="326"/>
      <c r="AS160" s="411"/>
      <c r="AT160" s="412"/>
      <c r="AU160" s="326"/>
      <c r="AV160" s="411"/>
      <c r="AW160" s="412"/>
      <c r="AX160" s="413"/>
      <c r="AY160" s="410"/>
      <c r="BA160" s="411"/>
      <c r="BB160" s="412"/>
      <c r="BC160" s="326"/>
      <c r="BD160" s="411"/>
      <c r="BE160" s="412"/>
      <c r="BF160" s="326"/>
      <c r="BG160" s="411"/>
      <c r="BH160" s="412"/>
      <c r="BI160" s="326"/>
      <c r="BJ160" s="411"/>
      <c r="BK160" s="412"/>
      <c r="BL160" s="413"/>
      <c r="BM160" s="410"/>
      <c r="BO160" s="411"/>
      <c r="BP160" s="412"/>
      <c r="BQ160" s="326"/>
      <c r="BR160" s="411"/>
      <c r="BS160" s="412"/>
      <c r="BT160" s="326"/>
      <c r="BU160" s="411"/>
      <c r="BV160" s="412"/>
      <c r="BW160" s="326"/>
      <c r="BX160" s="411"/>
      <c r="BY160" s="412"/>
      <c r="BZ160" s="413"/>
      <c r="CA160" s="410"/>
    </row>
    <row r="161" spans="2:79" s="302" customFormat="1" ht="33" customHeight="1" thickBot="1" x14ac:dyDescent="0.25">
      <c r="B161" s="853"/>
      <c r="C161" s="854" t="s">
        <v>817</v>
      </c>
      <c r="D161" s="855"/>
      <c r="E161" s="855"/>
      <c r="F161" s="856"/>
      <c r="H161" s="367" t="s">
        <v>792</v>
      </c>
      <c r="I161" s="353">
        <f>SUM(I150:I160)/COUNT(I150:I160)</f>
        <v>0.78661022183273144</v>
      </c>
      <c r="J161" s="355">
        <f>SUM(J150:J160)/COUNT(J150:J160)</f>
        <v>0.15583186859834805</v>
      </c>
      <c r="K161" s="415"/>
      <c r="L161" s="367" t="s">
        <v>792</v>
      </c>
      <c r="M161" s="353">
        <f ca="1">SUM(M150:M208)/COUNT(M150:M208)</f>
        <v>0</v>
      </c>
      <c r="N161" s="355">
        <f>SUM(N150:N160)/COUNT(N150:N160)</f>
        <v>0.15583186859834805</v>
      </c>
      <c r="O161" s="415"/>
      <c r="P161" s="367" t="s">
        <v>792</v>
      </c>
      <c r="Q161" s="353">
        <f ca="1">SUM(Q150:Q208)/COUNT(Q150:Q208)</f>
        <v>0</v>
      </c>
      <c r="R161" s="355">
        <f>SUM(R150:R160)/COUNT(R150:R160)</f>
        <v>0.15583186859834805</v>
      </c>
      <c r="S161" s="415"/>
      <c r="T161" s="367" t="s">
        <v>792</v>
      </c>
      <c r="U161" s="353">
        <f ca="1">SUM(U150:U208)/COUNT(U150:U208)</f>
        <v>0</v>
      </c>
      <c r="V161" s="355">
        <f>SUM(V150:V160)/COUNT(V150:V160)</f>
        <v>0.15583186859834805</v>
      </c>
      <c r="W161" s="410"/>
      <c r="X161" s="382"/>
      <c r="Y161" s="411"/>
      <c r="Z161" s="412"/>
      <c r="AA161" s="326"/>
      <c r="AB161" s="411"/>
      <c r="AC161" s="412"/>
      <c r="AD161" s="326"/>
      <c r="AE161" s="411"/>
      <c r="AF161" s="412"/>
      <c r="AG161" s="326"/>
      <c r="AH161" s="411"/>
      <c r="AI161" s="412"/>
      <c r="AJ161" s="413"/>
      <c r="AK161" s="410"/>
      <c r="AL161" s="385"/>
      <c r="AM161" s="411"/>
      <c r="AN161" s="412"/>
      <c r="AO161" s="326"/>
      <c r="AP161" s="411"/>
      <c r="AQ161" s="412"/>
      <c r="AR161" s="326"/>
      <c r="AS161" s="411"/>
      <c r="AT161" s="412"/>
      <c r="AU161" s="326"/>
      <c r="AV161" s="411"/>
      <c r="AW161" s="412"/>
      <c r="AX161" s="413"/>
      <c r="AY161" s="410"/>
      <c r="BA161" s="411"/>
      <c r="BB161" s="412"/>
      <c r="BC161" s="326"/>
      <c r="BD161" s="411"/>
      <c r="BE161" s="412"/>
      <c r="BF161" s="326"/>
      <c r="BG161" s="411"/>
      <c r="BH161" s="412"/>
      <c r="BI161" s="326"/>
      <c r="BJ161" s="411"/>
      <c r="BK161" s="412"/>
      <c r="BL161" s="413"/>
      <c r="BM161" s="410"/>
      <c r="BO161" s="411"/>
      <c r="BP161" s="412"/>
      <c r="BQ161" s="326"/>
      <c r="BR161" s="411"/>
      <c r="BS161" s="412"/>
      <c r="BT161" s="326"/>
      <c r="BU161" s="411"/>
      <c r="BV161" s="412"/>
      <c r="BW161" s="326"/>
      <c r="BX161" s="411"/>
      <c r="BY161" s="412"/>
      <c r="BZ161" s="413"/>
      <c r="CA161" s="410"/>
    </row>
    <row r="162" spans="2:79" s="302" customFormat="1" ht="19.5" x14ac:dyDescent="0.25">
      <c r="B162" s="848"/>
      <c r="C162" s="844" t="s">
        <v>153</v>
      </c>
      <c r="D162" s="781" t="str">
        <f>+'Plan de Accion 2018'!F8</f>
        <v>Reporte Trimestral del Avance del PA</v>
      </c>
      <c r="E162" s="369" t="str">
        <f>+'Plan de Accion 2018'!B8</f>
        <v>Dirección General</v>
      </c>
      <c r="F162" s="416" t="str">
        <f>+'Plan de Accion 2018'!R8</f>
        <v># Informes reportados</v>
      </c>
      <c r="G162" s="342"/>
      <c r="H162" s="327">
        <f>+'Plan de Accion 2018'!AA8</f>
        <v>1</v>
      </c>
      <c r="I162" s="328">
        <f>+'Plan de Accion 2018'!BL8</f>
        <v>1</v>
      </c>
      <c r="J162" s="330">
        <f>+'Plan de Accion 2018'!AE8</f>
        <v>0.25</v>
      </c>
      <c r="K162" s="344"/>
      <c r="L162" s="327">
        <f>+'Plan de Accion 2018'!AK8</f>
        <v>0</v>
      </c>
      <c r="M162" s="328">
        <f>+'Plan de Accion 2018'!BN8</f>
        <v>0</v>
      </c>
      <c r="N162" s="330">
        <f>+'Plan de Accion 2018'!AO8</f>
        <v>0.25</v>
      </c>
      <c r="O162" s="344"/>
      <c r="P162" s="327">
        <f>+'Plan de Accion 2018'!AU8</f>
        <v>0</v>
      </c>
      <c r="Q162" s="328">
        <f>+'Plan de Accion 2018'!BP8</f>
        <v>0</v>
      </c>
      <c r="R162" s="330">
        <f>+'Plan de Accion 2018'!AY8</f>
        <v>0.25</v>
      </c>
      <c r="S162" s="344"/>
      <c r="T162" s="327">
        <f>+'Plan de Accion 2018'!BE8</f>
        <v>0</v>
      </c>
      <c r="U162" s="328">
        <f>+'Plan de Accion 2018'!BR8</f>
        <v>0</v>
      </c>
      <c r="V162" s="330">
        <f>+'Plan de Accion 2018'!BI8</f>
        <v>0.25</v>
      </c>
      <c r="W162" s="410"/>
      <c r="X162" s="382"/>
      <c r="Y162" s="411"/>
      <c r="Z162" s="412"/>
      <c r="AA162" s="326"/>
      <c r="AB162" s="411"/>
      <c r="AC162" s="412"/>
      <c r="AD162" s="326"/>
      <c r="AE162" s="411"/>
      <c r="AF162" s="412"/>
      <c r="AG162" s="326"/>
      <c r="AH162" s="411"/>
      <c r="AI162" s="412"/>
      <c r="AJ162" s="413"/>
      <c r="AK162" s="410"/>
      <c r="AL162" s="385"/>
      <c r="AM162" s="411"/>
      <c r="AN162" s="412"/>
      <c r="AO162" s="326"/>
      <c r="AP162" s="411"/>
      <c r="AQ162" s="412"/>
      <c r="AR162" s="326"/>
      <c r="AS162" s="411"/>
      <c r="AT162" s="412"/>
      <c r="AU162" s="326"/>
      <c r="AV162" s="411"/>
      <c r="AW162" s="412"/>
      <c r="AX162" s="413"/>
      <c r="AY162" s="410"/>
      <c r="BA162" s="411"/>
      <c r="BB162" s="412"/>
      <c r="BC162" s="326"/>
      <c r="BD162" s="411"/>
      <c r="BE162" s="412"/>
      <c r="BF162" s="326"/>
      <c r="BG162" s="411"/>
      <c r="BH162" s="412"/>
      <c r="BI162" s="326"/>
      <c r="BJ162" s="411"/>
      <c r="BK162" s="412"/>
      <c r="BL162" s="413"/>
      <c r="BM162" s="410"/>
      <c r="BO162" s="411"/>
      <c r="BP162" s="412"/>
      <c r="BQ162" s="326"/>
      <c r="BR162" s="411"/>
      <c r="BS162" s="412"/>
      <c r="BT162" s="326"/>
      <c r="BU162" s="411"/>
      <c r="BV162" s="412"/>
      <c r="BW162" s="326"/>
      <c r="BX162" s="411"/>
      <c r="BY162" s="412"/>
      <c r="BZ162" s="413"/>
      <c r="CA162" s="410"/>
    </row>
    <row r="163" spans="2:79" s="302" customFormat="1" ht="42.75" x14ac:dyDescent="0.25">
      <c r="B163" s="848"/>
      <c r="C163" s="844"/>
      <c r="D163" s="781"/>
      <c r="E163" s="339" t="str">
        <f>+'Plan de Accion 2018'!B12</f>
        <v>Dirección de Gestión de Recursos Financieros de Salud</v>
      </c>
      <c r="F163" s="340" t="str">
        <f>+'Plan de Accion 2018'!R12</f>
        <v># Informes reportados</v>
      </c>
      <c r="G163" s="342"/>
      <c r="H163" s="336">
        <f>+'Plan de Accion 2018'!AA12</f>
        <v>1</v>
      </c>
      <c r="I163" s="337">
        <f>+'Plan de Accion 2018'!BL12</f>
        <v>1</v>
      </c>
      <c r="J163" s="330">
        <f>+'Plan de Accion 2018'!AE12</f>
        <v>0.25</v>
      </c>
      <c r="K163" s="344"/>
      <c r="L163" s="336">
        <f>+'Plan de Accion 2018'!AK12</f>
        <v>0</v>
      </c>
      <c r="M163" s="337">
        <f>+'Plan de Accion 2018'!BN12</f>
        <v>0</v>
      </c>
      <c r="N163" s="338">
        <f>+'Plan de Accion 2018'!AO12</f>
        <v>0.25</v>
      </c>
      <c r="O163" s="344"/>
      <c r="P163" s="336">
        <f>+'Plan de Accion 2018'!AU12</f>
        <v>0</v>
      </c>
      <c r="Q163" s="337">
        <f>+'Plan de Accion 2018'!BP12</f>
        <v>0</v>
      </c>
      <c r="R163" s="338">
        <f>+'Plan de Accion 2018'!AY12</f>
        <v>0.25</v>
      </c>
      <c r="S163" s="344"/>
      <c r="T163" s="336">
        <f>+'Plan de Accion 2018'!BE12</f>
        <v>0</v>
      </c>
      <c r="U163" s="337">
        <f>+'Plan de Accion 2018'!BR12</f>
        <v>0</v>
      </c>
      <c r="V163" s="338">
        <f>+'Plan de Accion 2018'!BI12</f>
        <v>0.25</v>
      </c>
      <c r="W163" s="410"/>
      <c r="X163" s="382"/>
      <c r="Y163" s="411"/>
      <c r="Z163" s="412"/>
      <c r="AA163" s="326"/>
      <c r="AB163" s="411"/>
      <c r="AC163" s="412"/>
      <c r="AD163" s="326"/>
      <c r="AE163" s="411"/>
      <c r="AF163" s="412"/>
      <c r="AG163" s="326"/>
      <c r="AH163" s="411"/>
      <c r="AI163" s="412"/>
      <c r="AJ163" s="413"/>
      <c r="AK163" s="410"/>
      <c r="AL163" s="385"/>
      <c r="AM163" s="411"/>
      <c r="AN163" s="412"/>
      <c r="AO163" s="326"/>
      <c r="AP163" s="411"/>
      <c r="AQ163" s="412"/>
      <c r="AR163" s="326"/>
      <c r="AS163" s="411"/>
      <c r="AT163" s="412"/>
      <c r="AU163" s="326"/>
      <c r="AV163" s="411"/>
      <c r="AW163" s="412"/>
      <c r="AX163" s="413"/>
      <c r="AY163" s="410"/>
      <c r="BA163" s="411"/>
      <c r="BB163" s="412"/>
      <c r="BC163" s="326"/>
      <c r="BD163" s="411"/>
      <c r="BE163" s="412"/>
      <c r="BF163" s="326"/>
      <c r="BG163" s="411"/>
      <c r="BH163" s="412"/>
      <c r="BI163" s="326"/>
      <c r="BJ163" s="411"/>
      <c r="BK163" s="412"/>
      <c r="BL163" s="413"/>
      <c r="BM163" s="410"/>
      <c r="BO163" s="411"/>
      <c r="BP163" s="412"/>
      <c r="BQ163" s="326"/>
      <c r="BR163" s="411"/>
      <c r="BS163" s="412"/>
      <c r="BT163" s="326"/>
      <c r="BU163" s="411"/>
      <c r="BV163" s="412"/>
      <c r="BW163" s="326"/>
      <c r="BX163" s="411"/>
      <c r="BY163" s="412"/>
      <c r="BZ163" s="413"/>
      <c r="CA163" s="410"/>
    </row>
    <row r="164" spans="2:79" s="302" customFormat="1" ht="28.5" x14ac:dyDescent="0.25">
      <c r="B164" s="848"/>
      <c r="C164" s="844"/>
      <c r="D164" s="781"/>
      <c r="E164" s="339" t="str">
        <f>+'Plan de Accion 2018'!B45</f>
        <v>Dirección de Liquidaciones y Garantías</v>
      </c>
      <c r="F164" s="340" t="str">
        <f>+'Plan de Accion 2018'!R45</f>
        <v># Informes reportados</v>
      </c>
      <c r="G164" s="342"/>
      <c r="H164" s="336">
        <f>+'Plan de Accion 2018'!AA45</f>
        <v>1</v>
      </c>
      <c r="I164" s="337">
        <f>+'Plan de Accion 2018'!BL45</f>
        <v>1</v>
      </c>
      <c r="J164" s="330">
        <f>+'Plan de Accion 2018'!AE45</f>
        <v>0.25</v>
      </c>
      <c r="K164" s="344"/>
      <c r="L164" s="336">
        <f>+'Plan de Accion 2018'!AK45</f>
        <v>0</v>
      </c>
      <c r="M164" s="337">
        <f>+'Plan de Accion 2018'!BN45</f>
        <v>0</v>
      </c>
      <c r="N164" s="338">
        <f>+'Plan de Accion 2018'!AO45</f>
        <v>0.25</v>
      </c>
      <c r="O164" s="344"/>
      <c r="P164" s="336">
        <f>+'Plan de Accion 2018'!AU45</f>
        <v>0</v>
      </c>
      <c r="Q164" s="337">
        <f>+'Plan de Accion 2018'!BP45</f>
        <v>0</v>
      </c>
      <c r="R164" s="338">
        <f>+'Plan de Accion 2018'!AY45</f>
        <v>0.25</v>
      </c>
      <c r="S164" s="344"/>
      <c r="T164" s="336">
        <f>+'Plan de Accion 2018'!BE45</f>
        <v>0</v>
      </c>
      <c r="U164" s="337">
        <f>+'Plan de Accion 2018'!BR45</f>
        <v>0</v>
      </c>
      <c r="V164" s="338">
        <f>+'Plan de Accion 2018'!BI45</f>
        <v>0.25</v>
      </c>
      <c r="W164" s="410"/>
      <c r="X164" s="382"/>
      <c r="Y164" s="411"/>
      <c r="Z164" s="412"/>
      <c r="AA164" s="326"/>
      <c r="AB164" s="411"/>
      <c r="AC164" s="412"/>
      <c r="AD164" s="326"/>
      <c r="AE164" s="411"/>
      <c r="AF164" s="412"/>
      <c r="AG164" s="326"/>
      <c r="AH164" s="411"/>
      <c r="AI164" s="412"/>
      <c r="AJ164" s="413"/>
      <c r="AK164" s="410"/>
      <c r="AL164" s="385"/>
      <c r="AM164" s="411"/>
      <c r="AN164" s="412"/>
      <c r="AO164" s="326"/>
      <c r="AP164" s="411"/>
      <c r="AQ164" s="412"/>
      <c r="AR164" s="326"/>
      <c r="AS164" s="411"/>
      <c r="AT164" s="412"/>
      <c r="AU164" s="326"/>
      <c r="AV164" s="411"/>
      <c r="AW164" s="412"/>
      <c r="AX164" s="413"/>
      <c r="AY164" s="410"/>
      <c r="BA164" s="411"/>
      <c r="BB164" s="412"/>
      <c r="BC164" s="326"/>
      <c r="BD164" s="411"/>
      <c r="BE164" s="412"/>
      <c r="BF164" s="326"/>
      <c r="BG164" s="411"/>
      <c r="BH164" s="412"/>
      <c r="BI164" s="326"/>
      <c r="BJ164" s="411"/>
      <c r="BK164" s="412"/>
      <c r="BL164" s="413"/>
      <c r="BM164" s="410"/>
      <c r="BO164" s="411"/>
      <c r="BP164" s="412"/>
      <c r="BQ164" s="326"/>
      <c r="BR164" s="411"/>
      <c r="BS164" s="412"/>
      <c r="BT164" s="326"/>
      <c r="BU164" s="411"/>
      <c r="BV164" s="412"/>
      <c r="BW164" s="326"/>
      <c r="BX164" s="411"/>
      <c r="BY164" s="412"/>
      <c r="BZ164" s="413"/>
      <c r="CA164" s="410"/>
    </row>
    <row r="165" spans="2:79" s="302" customFormat="1" ht="28.5" x14ac:dyDescent="0.25">
      <c r="B165" s="848"/>
      <c r="C165" s="844"/>
      <c r="D165" s="781"/>
      <c r="E165" s="339" t="str">
        <f>+'Plan de Accion 2018'!B64</f>
        <v xml:space="preserve">Dirección de Otras Prestaciones  </v>
      </c>
      <c r="F165" s="340" t="str">
        <f>+'Plan de Accion 2018'!R64</f>
        <v># Informes reportados</v>
      </c>
      <c r="G165" s="342"/>
      <c r="H165" s="336">
        <f>+'Plan de Accion 2018'!AA64</f>
        <v>1</v>
      </c>
      <c r="I165" s="337">
        <f>+'Plan de Accion 2018'!BL64</f>
        <v>1</v>
      </c>
      <c r="J165" s="330">
        <f>+'Plan de Accion 2018'!AE64</f>
        <v>0.25</v>
      </c>
      <c r="K165" s="344"/>
      <c r="L165" s="336">
        <f>+'Plan de Accion 2018'!AK64</f>
        <v>0</v>
      </c>
      <c r="M165" s="337">
        <f>+'Plan de Accion 2018'!BN64</f>
        <v>0</v>
      </c>
      <c r="N165" s="338">
        <f>+'Plan de Accion 2018'!AO64</f>
        <v>0.25</v>
      </c>
      <c r="O165" s="344"/>
      <c r="P165" s="336">
        <f>+'Plan de Accion 2018'!AU64</f>
        <v>0</v>
      </c>
      <c r="Q165" s="337">
        <f>+'Plan de Accion 2018'!BP64</f>
        <v>0</v>
      </c>
      <c r="R165" s="338">
        <f>+'Plan de Accion 2018'!AY64</f>
        <v>0.25</v>
      </c>
      <c r="S165" s="344"/>
      <c r="T165" s="336">
        <f>+'Plan de Accion 2018'!BE64</f>
        <v>0</v>
      </c>
      <c r="U165" s="337">
        <f>+'Plan de Accion 2018'!BR64</f>
        <v>0</v>
      </c>
      <c r="V165" s="338">
        <f>+'Plan de Accion 2018'!BI64</f>
        <v>0.25</v>
      </c>
      <c r="W165" s="410"/>
      <c r="X165" s="382"/>
      <c r="Y165" s="411"/>
      <c r="Z165" s="412"/>
      <c r="AA165" s="326"/>
      <c r="AB165" s="411"/>
      <c r="AC165" s="412"/>
      <c r="AD165" s="326"/>
      <c r="AE165" s="411"/>
      <c r="AF165" s="412"/>
      <c r="AG165" s="326"/>
      <c r="AH165" s="411"/>
      <c r="AI165" s="412"/>
      <c r="AJ165" s="413"/>
      <c r="AK165" s="410"/>
      <c r="AL165" s="385"/>
      <c r="AM165" s="411"/>
      <c r="AN165" s="412"/>
      <c r="AO165" s="326"/>
      <c r="AP165" s="411"/>
      <c r="AQ165" s="412"/>
      <c r="AR165" s="326"/>
      <c r="AS165" s="411"/>
      <c r="AT165" s="412"/>
      <c r="AU165" s="326"/>
      <c r="AV165" s="411"/>
      <c r="AW165" s="412"/>
      <c r="AX165" s="413"/>
      <c r="AY165" s="410"/>
      <c r="BA165" s="411"/>
      <c r="BB165" s="412"/>
      <c r="BC165" s="326"/>
      <c r="BD165" s="411"/>
      <c r="BE165" s="412"/>
      <c r="BF165" s="326"/>
      <c r="BG165" s="411"/>
      <c r="BH165" s="412"/>
      <c r="BI165" s="326"/>
      <c r="BJ165" s="411"/>
      <c r="BK165" s="412"/>
      <c r="BL165" s="413"/>
      <c r="BM165" s="410"/>
      <c r="BO165" s="411"/>
      <c r="BP165" s="412"/>
      <c r="BQ165" s="326"/>
      <c r="BR165" s="411"/>
      <c r="BS165" s="412"/>
      <c r="BT165" s="326"/>
      <c r="BU165" s="411"/>
      <c r="BV165" s="412"/>
      <c r="BW165" s="326"/>
      <c r="BX165" s="411"/>
      <c r="BY165" s="412"/>
      <c r="BZ165" s="413"/>
      <c r="CA165" s="410"/>
    </row>
    <row r="166" spans="2:79" s="302" customFormat="1" ht="57" x14ac:dyDescent="0.25">
      <c r="B166" s="848"/>
      <c r="C166" s="844"/>
      <c r="D166" s="781"/>
      <c r="E166" s="339" t="str">
        <f>+'Plan de Accion 2018'!B76</f>
        <v>Dirección de Gestión de Tecnología de la Información y la Comunicación</v>
      </c>
      <c r="F166" s="340" t="str">
        <f>+'Plan de Accion 2018'!R76</f>
        <v># Informes reportados</v>
      </c>
      <c r="G166" s="342"/>
      <c r="H166" s="336">
        <f>+'Plan de Accion 2018'!AA76</f>
        <v>1</v>
      </c>
      <c r="I166" s="337">
        <f>+'Plan de Accion 2018'!BL76</f>
        <v>1</v>
      </c>
      <c r="J166" s="330">
        <f>+'Plan de Accion 2018'!AE76</f>
        <v>0.25</v>
      </c>
      <c r="K166" s="344"/>
      <c r="L166" s="336">
        <f>+'Plan de Accion 2018'!AK76</f>
        <v>0</v>
      </c>
      <c r="M166" s="337">
        <f>+'Plan de Accion 2018'!BN76</f>
        <v>0</v>
      </c>
      <c r="N166" s="338">
        <f>+'Plan de Accion 2018'!AO76</f>
        <v>0.25</v>
      </c>
      <c r="O166" s="344"/>
      <c r="P166" s="336">
        <f>+'Plan de Accion 2018'!AU76</f>
        <v>0</v>
      </c>
      <c r="Q166" s="337">
        <f>+'Plan de Accion 2018'!BP76</f>
        <v>0</v>
      </c>
      <c r="R166" s="338">
        <f>+'Plan de Accion 2018'!AY76</f>
        <v>0.25</v>
      </c>
      <c r="S166" s="344"/>
      <c r="T166" s="336">
        <f>+'Plan de Accion 2018'!BE76</f>
        <v>0</v>
      </c>
      <c r="U166" s="337">
        <f>+'Plan de Accion 2018'!BR76</f>
        <v>0</v>
      </c>
      <c r="V166" s="338">
        <f>+'Plan de Accion 2018'!BI76</f>
        <v>0.25</v>
      </c>
      <c r="W166" s="410"/>
      <c r="X166" s="382"/>
      <c r="Y166" s="411"/>
      <c r="Z166" s="412"/>
      <c r="AA166" s="326"/>
      <c r="AB166" s="411"/>
      <c r="AC166" s="412"/>
      <c r="AD166" s="326"/>
      <c r="AE166" s="411"/>
      <c r="AF166" s="412"/>
      <c r="AG166" s="326"/>
      <c r="AH166" s="411"/>
      <c r="AI166" s="412"/>
      <c r="AJ166" s="413"/>
      <c r="AK166" s="410"/>
      <c r="AL166" s="385"/>
      <c r="AM166" s="411"/>
      <c r="AN166" s="412"/>
      <c r="AO166" s="326"/>
      <c r="AP166" s="411"/>
      <c r="AQ166" s="412"/>
      <c r="AR166" s="326"/>
      <c r="AS166" s="411"/>
      <c r="AT166" s="412"/>
      <c r="AU166" s="326"/>
      <c r="AV166" s="411"/>
      <c r="AW166" s="412"/>
      <c r="AX166" s="413"/>
      <c r="AY166" s="410"/>
      <c r="BA166" s="411"/>
      <c r="BB166" s="412"/>
      <c r="BC166" s="326"/>
      <c r="BD166" s="411"/>
      <c r="BE166" s="412"/>
      <c r="BF166" s="326"/>
      <c r="BG166" s="411"/>
      <c r="BH166" s="412"/>
      <c r="BI166" s="326"/>
      <c r="BJ166" s="411"/>
      <c r="BK166" s="412"/>
      <c r="BL166" s="413"/>
      <c r="BM166" s="410"/>
      <c r="BO166" s="411"/>
      <c r="BP166" s="412"/>
      <c r="BQ166" s="326"/>
      <c r="BR166" s="411"/>
      <c r="BS166" s="412"/>
      <c r="BT166" s="326"/>
      <c r="BU166" s="411"/>
      <c r="BV166" s="412"/>
      <c r="BW166" s="326"/>
      <c r="BX166" s="411"/>
      <c r="BY166" s="412"/>
      <c r="BZ166" s="413"/>
      <c r="CA166" s="410"/>
    </row>
    <row r="167" spans="2:79" s="302" customFormat="1" ht="28.5" x14ac:dyDescent="0.25">
      <c r="B167" s="848"/>
      <c r="C167" s="844"/>
      <c r="D167" s="781"/>
      <c r="E167" s="339" t="str">
        <f>+'Plan de Accion 2018'!B89</f>
        <v>Dirección Administrativa y Financiera</v>
      </c>
      <c r="F167" s="340" t="str">
        <f>+'Plan de Accion 2018'!R89</f>
        <v># Informes reportados</v>
      </c>
      <c r="G167" s="342"/>
      <c r="H167" s="336">
        <f>+'Plan de Accion 2018'!AA89</f>
        <v>1</v>
      </c>
      <c r="I167" s="337">
        <f>+'Plan de Accion 2018'!BL89</f>
        <v>1</v>
      </c>
      <c r="J167" s="330">
        <f>+'Plan de Accion 2018'!AE89</f>
        <v>0.25</v>
      </c>
      <c r="K167" s="344"/>
      <c r="L167" s="336">
        <f>+'Plan de Accion 2018'!AK89</f>
        <v>0</v>
      </c>
      <c r="M167" s="337">
        <f>+'Plan de Accion 2018'!BN89</f>
        <v>0</v>
      </c>
      <c r="N167" s="338">
        <f>+'Plan de Accion 2018'!AO89</f>
        <v>0.25</v>
      </c>
      <c r="O167" s="344"/>
      <c r="P167" s="336">
        <f>+'Plan de Accion 2018'!AU89</f>
        <v>0</v>
      </c>
      <c r="Q167" s="337">
        <f>+'Plan de Accion 2018'!BP89</f>
        <v>0</v>
      </c>
      <c r="R167" s="338">
        <f>+'Plan de Accion 2018'!AY89</f>
        <v>0.25</v>
      </c>
      <c r="S167" s="344"/>
      <c r="T167" s="336">
        <f>+'Plan de Accion 2018'!BE89</f>
        <v>0</v>
      </c>
      <c r="U167" s="337">
        <f>+'Plan de Accion 2018'!BR89</f>
        <v>0</v>
      </c>
      <c r="V167" s="338">
        <f>+'Plan de Accion 2018'!BI89</f>
        <v>0.25</v>
      </c>
      <c r="W167" s="410"/>
      <c r="X167" s="382"/>
      <c r="Y167" s="411"/>
      <c r="Z167" s="412"/>
      <c r="AA167" s="326"/>
      <c r="AB167" s="411"/>
      <c r="AC167" s="412"/>
      <c r="AD167" s="326"/>
      <c r="AE167" s="411"/>
      <c r="AF167" s="412"/>
      <c r="AG167" s="326"/>
      <c r="AH167" s="411"/>
      <c r="AI167" s="412"/>
      <c r="AJ167" s="413"/>
      <c r="AK167" s="410"/>
      <c r="AL167" s="385"/>
      <c r="AM167" s="411"/>
      <c r="AN167" s="412"/>
      <c r="AO167" s="326"/>
      <c r="AP167" s="411"/>
      <c r="AQ167" s="412"/>
      <c r="AR167" s="326"/>
      <c r="AS167" s="411"/>
      <c r="AT167" s="412"/>
      <c r="AU167" s="326"/>
      <c r="AV167" s="411"/>
      <c r="AW167" s="412"/>
      <c r="AX167" s="413"/>
      <c r="AY167" s="410"/>
      <c r="BA167" s="411"/>
      <c r="BB167" s="412"/>
      <c r="BC167" s="326"/>
      <c r="BD167" s="411"/>
      <c r="BE167" s="412"/>
      <c r="BF167" s="326"/>
      <c r="BG167" s="411"/>
      <c r="BH167" s="412"/>
      <c r="BI167" s="326"/>
      <c r="BJ167" s="411"/>
      <c r="BK167" s="412"/>
      <c r="BL167" s="413"/>
      <c r="BM167" s="410"/>
      <c r="BO167" s="411"/>
      <c r="BP167" s="412"/>
      <c r="BQ167" s="326"/>
      <c r="BR167" s="411"/>
      <c r="BS167" s="412"/>
      <c r="BT167" s="326"/>
      <c r="BU167" s="411"/>
      <c r="BV167" s="412"/>
      <c r="BW167" s="326"/>
      <c r="BX167" s="411"/>
      <c r="BY167" s="412"/>
      <c r="BZ167" s="413"/>
      <c r="CA167" s="410"/>
    </row>
    <row r="168" spans="2:79" s="302" customFormat="1" ht="19.5" x14ac:dyDescent="0.25">
      <c r="B168" s="848"/>
      <c r="C168" s="844"/>
      <c r="D168" s="781"/>
      <c r="E168" s="339" t="str">
        <f>+'Plan de Accion 2018'!B114</f>
        <v>Oficina de Control Interno</v>
      </c>
      <c r="F168" s="340" t="str">
        <f>+'Plan de Accion 2018'!R114</f>
        <v># Informes reportados</v>
      </c>
      <c r="G168" s="342"/>
      <c r="H168" s="343">
        <f>+'Plan de Accion 2018'!AA114</f>
        <v>1</v>
      </c>
      <c r="I168" s="337">
        <f>+'Plan de Accion 2018'!BL114</f>
        <v>1</v>
      </c>
      <c r="J168" s="330">
        <f>+'Plan de Accion 2018'!AE114</f>
        <v>0.25</v>
      </c>
      <c r="K168" s="344"/>
      <c r="L168" s="336">
        <f>+'Plan de Accion 2018'!AK114</f>
        <v>0</v>
      </c>
      <c r="M168" s="337">
        <f>+'Plan de Accion 2018'!BN114</f>
        <v>0</v>
      </c>
      <c r="N168" s="338">
        <f>+'Plan de Accion 2018'!AO114</f>
        <v>0.25</v>
      </c>
      <c r="O168" s="344"/>
      <c r="P168" s="336">
        <f>+'Plan de Accion 2018'!AU114</f>
        <v>0</v>
      </c>
      <c r="Q168" s="337">
        <f>+'Plan de Accion 2018'!BP114</f>
        <v>0</v>
      </c>
      <c r="R168" s="338">
        <f>+'Plan de Accion 2018'!AY114</f>
        <v>0.25</v>
      </c>
      <c r="S168" s="344"/>
      <c r="T168" s="336">
        <f>+'Plan de Accion 2018'!BE114</f>
        <v>0</v>
      </c>
      <c r="U168" s="337">
        <f>+'Plan de Accion 2018'!BR114</f>
        <v>0</v>
      </c>
      <c r="V168" s="338">
        <f>+'Plan de Accion 2018'!BI114</f>
        <v>0.25</v>
      </c>
      <c r="W168" s="410"/>
      <c r="X168" s="382"/>
      <c r="Y168" s="411"/>
      <c r="Z168" s="412"/>
      <c r="AA168" s="326"/>
      <c r="AB168" s="411"/>
      <c r="AC168" s="412"/>
      <c r="AD168" s="326"/>
      <c r="AE168" s="411"/>
      <c r="AF168" s="412"/>
      <c r="AG168" s="326"/>
      <c r="AH168" s="411"/>
      <c r="AI168" s="412"/>
      <c r="AJ168" s="413"/>
      <c r="AK168" s="410"/>
      <c r="AL168" s="385"/>
      <c r="AM168" s="411"/>
      <c r="AN168" s="412"/>
      <c r="AO168" s="326"/>
      <c r="AP168" s="411"/>
      <c r="AQ168" s="412"/>
      <c r="AR168" s="326"/>
      <c r="AS168" s="411"/>
      <c r="AT168" s="412"/>
      <c r="AU168" s="326"/>
      <c r="AV168" s="411"/>
      <c r="AW168" s="412"/>
      <c r="AX168" s="413"/>
      <c r="AY168" s="410"/>
      <c r="BA168" s="411"/>
      <c r="BB168" s="412"/>
      <c r="BC168" s="326"/>
      <c r="BD168" s="411"/>
      <c r="BE168" s="412"/>
      <c r="BF168" s="326"/>
      <c r="BG168" s="411"/>
      <c r="BH168" s="412"/>
      <c r="BI168" s="326"/>
      <c r="BJ168" s="411"/>
      <c r="BK168" s="412"/>
      <c r="BL168" s="413"/>
      <c r="BM168" s="410"/>
      <c r="BO168" s="411"/>
      <c r="BP168" s="412"/>
      <c r="BQ168" s="326"/>
      <c r="BR168" s="411"/>
      <c r="BS168" s="412"/>
      <c r="BT168" s="326"/>
      <c r="BU168" s="411"/>
      <c r="BV168" s="412"/>
      <c r="BW168" s="326"/>
      <c r="BX168" s="411"/>
      <c r="BY168" s="412"/>
      <c r="BZ168" s="413"/>
      <c r="CA168" s="410"/>
    </row>
    <row r="169" spans="2:79" s="302" customFormat="1" ht="19.5" x14ac:dyDescent="0.25">
      <c r="B169" s="848"/>
      <c r="C169" s="844"/>
      <c r="D169" s="781"/>
      <c r="E169" s="339" t="str">
        <f>+'Plan de Accion 2018'!B122</f>
        <v>Oficina Asesora Jurídica</v>
      </c>
      <c r="F169" s="340" t="str">
        <f>+'Plan de Accion 2018'!R122</f>
        <v># Informes reportados</v>
      </c>
      <c r="G169" s="342"/>
      <c r="H169" s="336">
        <f>+'Plan de Accion 2018'!AA122</f>
        <v>1</v>
      </c>
      <c r="I169" s="337">
        <f>+'Plan de Accion 2018'!BL122</f>
        <v>1</v>
      </c>
      <c r="J169" s="330">
        <f>+'Plan de Accion 2018'!AE122</f>
        <v>0.25</v>
      </c>
      <c r="K169" s="344"/>
      <c r="L169" s="336">
        <f>+'Plan de Accion 2018'!AK122</f>
        <v>0</v>
      </c>
      <c r="M169" s="337">
        <f>+'Plan de Accion 2018'!BN122</f>
        <v>0</v>
      </c>
      <c r="N169" s="338">
        <f>+'Plan de Accion 2018'!AO122</f>
        <v>0.25</v>
      </c>
      <c r="O169" s="344"/>
      <c r="P169" s="336">
        <f>+'Plan de Accion 2018'!AU122</f>
        <v>0</v>
      </c>
      <c r="Q169" s="337">
        <f>+'Plan de Accion 2018'!BP122</f>
        <v>0</v>
      </c>
      <c r="R169" s="338">
        <f>+'Plan de Accion 2018'!AY122</f>
        <v>0.25</v>
      </c>
      <c r="S169" s="344"/>
      <c r="T169" s="336">
        <f>+'Plan de Accion 2018'!BE122</f>
        <v>0</v>
      </c>
      <c r="U169" s="337">
        <f>+'Plan de Accion 2018'!BR122</f>
        <v>0</v>
      </c>
      <c r="V169" s="338">
        <f>+'Plan de Accion 2018'!BI122</f>
        <v>0.25</v>
      </c>
      <c r="W169" s="410"/>
      <c r="X169" s="382"/>
      <c r="Y169" s="411"/>
      <c r="Z169" s="412"/>
      <c r="AA169" s="326"/>
      <c r="AB169" s="411"/>
      <c r="AC169" s="412"/>
      <c r="AD169" s="326"/>
      <c r="AE169" s="411"/>
      <c r="AF169" s="412"/>
      <c r="AG169" s="326"/>
      <c r="AH169" s="411"/>
      <c r="AI169" s="412"/>
      <c r="AJ169" s="413"/>
      <c r="AK169" s="410"/>
      <c r="AL169" s="385"/>
      <c r="AM169" s="411"/>
      <c r="AN169" s="412"/>
      <c r="AO169" s="326"/>
      <c r="AP169" s="411"/>
      <c r="AQ169" s="412"/>
      <c r="AR169" s="326"/>
      <c r="AS169" s="411"/>
      <c r="AT169" s="412"/>
      <c r="AU169" s="326"/>
      <c r="AV169" s="411"/>
      <c r="AW169" s="412"/>
      <c r="AX169" s="413"/>
      <c r="AY169" s="410"/>
      <c r="BA169" s="411"/>
      <c r="BB169" s="412"/>
      <c r="BC169" s="326"/>
      <c r="BD169" s="411"/>
      <c r="BE169" s="412"/>
      <c r="BF169" s="326"/>
      <c r="BG169" s="411"/>
      <c r="BH169" s="412"/>
      <c r="BI169" s="326"/>
      <c r="BJ169" s="411"/>
      <c r="BK169" s="412"/>
      <c r="BL169" s="413"/>
      <c r="BM169" s="410"/>
      <c r="BO169" s="411"/>
      <c r="BP169" s="412"/>
      <c r="BQ169" s="326"/>
      <c r="BR169" s="411"/>
      <c r="BS169" s="412"/>
      <c r="BT169" s="326"/>
      <c r="BU169" s="411"/>
      <c r="BV169" s="412"/>
      <c r="BW169" s="326"/>
      <c r="BX169" s="411"/>
      <c r="BY169" s="412"/>
      <c r="BZ169" s="413"/>
      <c r="CA169" s="410"/>
    </row>
    <row r="170" spans="2:79" s="302" customFormat="1" ht="43.5" thickBot="1" x14ac:dyDescent="0.3">
      <c r="B170" s="848"/>
      <c r="C170" s="844"/>
      <c r="D170" s="781"/>
      <c r="E170" s="345" t="str">
        <f>+'Plan de Accion 2018'!B140</f>
        <v>Oficina Asesora de Planeación y Control de Riegos</v>
      </c>
      <c r="F170" s="347" t="str">
        <f>+'Plan de Accion 2018'!R140</f>
        <v># Informes reportados</v>
      </c>
      <c r="G170" s="342"/>
      <c r="H170" s="402">
        <f>+'Plan de Accion 2018'!AA140</f>
        <v>1</v>
      </c>
      <c r="I170" s="349">
        <f>+'Plan de Accion 2018'!BL140</f>
        <v>1</v>
      </c>
      <c r="J170" s="440">
        <f>+'Plan de Accion 2018'!AE140</f>
        <v>0.25</v>
      </c>
      <c r="K170" s="344"/>
      <c r="L170" s="348">
        <f>+'Plan de Accion 2018'!AK140</f>
        <v>0</v>
      </c>
      <c r="M170" s="349">
        <f>+'Plan de Accion 2018'!BN140</f>
        <v>0</v>
      </c>
      <c r="N170" s="350">
        <f>+'Plan de Accion 2018'!AO140</f>
        <v>0.25</v>
      </c>
      <c r="O170" s="344"/>
      <c r="P170" s="348">
        <f>+'Plan de Accion 2018'!AU140</f>
        <v>0</v>
      </c>
      <c r="Q170" s="349">
        <f>+'Plan de Accion 2018'!BP140</f>
        <v>0</v>
      </c>
      <c r="R170" s="350">
        <f>+'Plan de Accion 2018'!AY140</f>
        <v>0.25</v>
      </c>
      <c r="S170" s="344"/>
      <c r="T170" s="348">
        <f>+'Plan de Accion 2018'!BE140</f>
        <v>0</v>
      </c>
      <c r="U170" s="349">
        <f>+'Plan de Accion 2018'!BR140</f>
        <v>0</v>
      </c>
      <c r="V170" s="350">
        <f>+'Plan de Accion 2018'!BI140</f>
        <v>0.25</v>
      </c>
      <c r="W170" s="410"/>
      <c r="X170" s="382"/>
      <c r="Y170" s="411"/>
      <c r="Z170" s="412"/>
      <c r="AA170" s="326"/>
      <c r="AB170" s="411"/>
      <c r="AC170" s="412"/>
      <c r="AD170" s="326"/>
      <c r="AE170" s="411"/>
      <c r="AF170" s="412"/>
      <c r="AG170" s="326"/>
      <c r="AH170" s="411"/>
      <c r="AI170" s="412"/>
      <c r="AJ170" s="413"/>
      <c r="AK170" s="410"/>
      <c r="AL170" s="385"/>
      <c r="AM170" s="411"/>
      <c r="AN170" s="412"/>
      <c r="AO170" s="326"/>
      <c r="AP170" s="411"/>
      <c r="AQ170" s="412"/>
      <c r="AR170" s="326"/>
      <c r="AS170" s="411"/>
      <c r="AT170" s="412"/>
      <c r="AU170" s="326"/>
      <c r="AV170" s="411"/>
      <c r="AW170" s="412"/>
      <c r="AX170" s="413"/>
      <c r="AY170" s="410"/>
      <c r="BA170" s="411"/>
      <c r="BB170" s="412"/>
      <c r="BC170" s="326"/>
      <c r="BD170" s="411"/>
      <c r="BE170" s="412"/>
      <c r="BF170" s="326"/>
      <c r="BG170" s="411"/>
      <c r="BH170" s="412"/>
      <c r="BI170" s="326"/>
      <c r="BJ170" s="411"/>
      <c r="BK170" s="412"/>
      <c r="BL170" s="413"/>
      <c r="BM170" s="410"/>
      <c r="BO170" s="411"/>
      <c r="BP170" s="412"/>
      <c r="BQ170" s="326"/>
      <c r="BR170" s="411"/>
      <c r="BS170" s="412"/>
      <c r="BT170" s="326"/>
      <c r="BU170" s="411"/>
      <c r="BV170" s="412"/>
      <c r="BW170" s="326"/>
      <c r="BX170" s="411"/>
      <c r="BY170" s="412"/>
      <c r="BZ170" s="413"/>
      <c r="CA170" s="410"/>
    </row>
    <row r="171" spans="2:79" s="302" customFormat="1" ht="34.5" customHeight="1" thickBot="1" x14ac:dyDescent="0.3">
      <c r="B171" s="849"/>
      <c r="C171" s="850" t="s">
        <v>817</v>
      </c>
      <c r="D171" s="851"/>
      <c r="E171" s="851"/>
      <c r="F171" s="852"/>
      <c r="G171" s="342"/>
      <c r="H171" s="367" t="s">
        <v>792</v>
      </c>
      <c r="I171" s="353">
        <f>SUM(I162:I170)/COUNT(I162:I170)</f>
        <v>1</v>
      </c>
      <c r="J171" s="355">
        <f>SUM(J162:J170)/COUNT(J162:J170)</f>
        <v>0.25</v>
      </c>
      <c r="K171" s="378"/>
      <c r="L171" s="367" t="s">
        <v>792</v>
      </c>
      <c r="M171" s="353">
        <f>SUM(M162:M170)/COUNT(M162:M170)</f>
        <v>0</v>
      </c>
      <c r="N171" s="355">
        <f>SUM(N162:N170)/COUNT(N162:N170)</f>
        <v>0.25</v>
      </c>
      <c r="O171" s="378"/>
      <c r="P171" s="367" t="s">
        <v>792</v>
      </c>
      <c r="Q171" s="353">
        <f>SUM(Q162:Q170)/COUNT(Q162:Q170)</f>
        <v>0</v>
      </c>
      <c r="R171" s="355">
        <f>SUM(R162:R170)/COUNT(R162:R170)</f>
        <v>0.25</v>
      </c>
      <c r="S171" s="378"/>
      <c r="T171" s="367" t="s">
        <v>792</v>
      </c>
      <c r="U171" s="353">
        <f>SUM(U162:U170)/COUNT(U162:U170)</f>
        <v>0</v>
      </c>
      <c r="V171" s="355">
        <f>SUM(V162:V170)/COUNT(V162:V170)</f>
        <v>0.25</v>
      </c>
      <c r="W171" s="410"/>
      <c r="X171" s="382"/>
      <c r="Y171" s="411"/>
      <c r="Z171" s="412"/>
      <c r="AA171" s="326"/>
      <c r="AB171" s="411"/>
      <c r="AC171" s="412"/>
      <c r="AD171" s="326"/>
      <c r="AE171" s="411"/>
      <c r="AF171" s="412"/>
      <c r="AG171" s="326"/>
      <c r="AH171" s="411"/>
      <c r="AI171" s="412"/>
      <c r="AJ171" s="413"/>
      <c r="AK171" s="410"/>
      <c r="AL171" s="385"/>
      <c r="AM171" s="411"/>
      <c r="AN171" s="412"/>
      <c r="AO171" s="326"/>
      <c r="AP171" s="411"/>
      <c r="AQ171" s="412"/>
      <c r="AR171" s="326"/>
      <c r="AS171" s="411"/>
      <c r="AT171" s="412"/>
      <c r="AU171" s="326"/>
      <c r="AV171" s="411"/>
      <c r="AW171" s="412"/>
      <c r="AX171" s="413"/>
      <c r="AY171" s="410"/>
      <c r="BA171" s="411"/>
      <c r="BB171" s="412"/>
      <c r="BC171" s="326"/>
      <c r="BD171" s="411"/>
      <c r="BE171" s="412"/>
      <c r="BF171" s="326"/>
      <c r="BG171" s="411"/>
      <c r="BH171" s="412"/>
      <c r="BI171" s="326"/>
      <c r="BJ171" s="411"/>
      <c r="BK171" s="412"/>
      <c r="BL171" s="413"/>
      <c r="BM171" s="410"/>
      <c r="BO171" s="411"/>
      <c r="BP171" s="412"/>
      <c r="BQ171" s="326"/>
      <c r="BR171" s="411"/>
      <c r="BS171" s="412"/>
      <c r="BT171" s="326"/>
      <c r="BU171" s="411"/>
      <c r="BV171" s="412"/>
      <c r="BW171" s="326"/>
      <c r="BX171" s="411"/>
      <c r="BY171" s="412"/>
      <c r="BZ171" s="413"/>
      <c r="CA171" s="410"/>
    </row>
    <row r="172" spans="2:79" ht="20.25" thickBot="1" x14ac:dyDescent="0.3">
      <c r="B172" s="836" t="s">
        <v>810</v>
      </c>
      <c r="C172" s="837"/>
      <c r="D172" s="837"/>
      <c r="E172" s="837"/>
      <c r="F172" s="838"/>
      <c r="H172" s="391" t="s">
        <v>792</v>
      </c>
      <c r="I172" s="392">
        <f>+(I117+I140+I149+I161+I171)/5</f>
        <v>0.97957247603883246</v>
      </c>
      <c r="J172" s="393">
        <f>+(J117+J140+J149+J161+J171)/5</f>
        <v>0.24476018319223938</v>
      </c>
      <c r="K172" s="390"/>
      <c r="L172" s="391" t="s">
        <v>792</v>
      </c>
      <c r="M172" s="392">
        <f ca="1">+(M117+M140+M149+M161+M171)/5</f>
        <v>0</v>
      </c>
      <c r="N172" s="393">
        <f>+(N117+N140+N149+N161+N171)/5</f>
        <v>0.24476018319223938</v>
      </c>
      <c r="O172" s="390"/>
      <c r="P172" s="391" t="s">
        <v>792</v>
      </c>
      <c r="Q172" s="392">
        <f ca="1">+(Q117+Q140+Q149+Q161+Q171)/5</f>
        <v>0</v>
      </c>
      <c r="R172" s="393">
        <f>+(R117+R140+R149+R161+R171)/5</f>
        <v>0.24476018319223938</v>
      </c>
      <c r="S172" s="390"/>
      <c r="T172" s="391" t="s">
        <v>792</v>
      </c>
      <c r="U172" s="392">
        <f ca="1">+(U117+U140+U149+U161+U171)/5</f>
        <v>0</v>
      </c>
      <c r="V172" s="393">
        <f>+(V117+V140+V149+V161+V171)/5</f>
        <v>0.24476018319223938</v>
      </c>
      <c r="Y172" s="417"/>
      <c r="Z172" s="418" t="e">
        <f>SUM(Z105:Z129)/COUNT(Z105:Z129)</f>
        <v>#REF!</v>
      </c>
      <c r="AA172" s="419"/>
      <c r="AB172" s="417"/>
      <c r="AC172" s="418" t="e">
        <f>SUM(AC105:AC129)/COUNT(AC105:AC129)</f>
        <v>#REF!</v>
      </c>
      <c r="AD172" s="419"/>
      <c r="AE172" s="417"/>
      <c r="AF172" s="418" t="e">
        <f>SUM(AF105:AF129)/COUNT(AF105:AF129)</f>
        <v>#REF!</v>
      </c>
      <c r="AG172" s="419"/>
      <c r="AH172" s="417"/>
      <c r="AI172" s="418" t="e">
        <f>SUM(AI105:AI129)/COUNT(AI105:AI129)</f>
        <v>#REF!</v>
      </c>
      <c r="AM172" s="417"/>
      <c r="AN172" s="418" t="e">
        <f>SUM(AN105:AN129)/COUNT(AN105:AN129)</f>
        <v>#REF!</v>
      </c>
      <c r="AO172" s="419"/>
      <c r="AP172" s="417"/>
      <c r="AQ172" s="418" t="e">
        <f>SUM(AQ105:AQ129)/COUNT(AQ105:AQ129)</f>
        <v>#REF!</v>
      </c>
      <c r="AR172" s="419"/>
      <c r="AS172" s="417"/>
      <c r="AT172" s="418" t="e">
        <f>SUM(AT105:AT129)/COUNT(AT105:AT129)</f>
        <v>#REF!</v>
      </c>
      <c r="AU172" s="419"/>
      <c r="AV172" s="417"/>
      <c r="AW172" s="418" t="e">
        <f>SUM(AW105:AW129)/COUNT(AW105:AW129)</f>
        <v>#REF!</v>
      </c>
      <c r="BA172" s="417"/>
      <c r="BB172" s="418" t="e">
        <f>SUM(BB105:BB129)/COUNT(BB105:BB129)</f>
        <v>#REF!</v>
      </c>
      <c r="BC172" s="419"/>
      <c r="BD172" s="417"/>
      <c r="BE172" s="418" t="e">
        <f>SUM(BE105:BE129)/COUNT(BE105:BE129)</f>
        <v>#REF!</v>
      </c>
      <c r="BF172" s="419"/>
      <c r="BG172" s="417"/>
      <c r="BH172" s="418" t="e">
        <f>SUM(BH105:BH129)/COUNT(BH105:BH129)</f>
        <v>#REF!</v>
      </c>
      <c r="BI172" s="419"/>
      <c r="BJ172" s="417"/>
      <c r="BK172" s="418" t="e">
        <f>SUM(BK105:BK129)/COUNT(BK105:BK129)</f>
        <v>#REF!</v>
      </c>
      <c r="BO172" s="417"/>
      <c r="BP172" s="418" t="e">
        <f>SUM(BP105:BP129)/COUNT(BP105:BP129)</f>
        <v>#REF!</v>
      </c>
      <c r="BQ172" s="419"/>
      <c r="BR172" s="417"/>
      <c r="BS172" s="418" t="e">
        <f>SUM(BS105:BS129)/COUNT(BS105:BS129)</f>
        <v>#REF!</v>
      </c>
      <c r="BT172" s="419"/>
      <c r="BU172" s="417"/>
      <c r="BV172" s="418" t="e">
        <f>SUM(BV105:BV129)/COUNT(BV105:BV129)</f>
        <v>#REF!</v>
      </c>
      <c r="BW172" s="419"/>
      <c r="BX172" s="417"/>
      <c r="BY172" s="418" t="e">
        <f>SUM(BY105:BY129)/COUNT(BY105:BY129)</f>
        <v>#REF!</v>
      </c>
    </row>
    <row r="173" spans="2:79" ht="42.75" x14ac:dyDescent="0.2">
      <c r="B173" s="847" t="s">
        <v>793</v>
      </c>
      <c r="C173" s="840" t="s">
        <v>256</v>
      </c>
      <c r="D173" s="420" t="str">
        <f>+'Plan de Accion 2018'!F13</f>
        <v>Procesos y Procedimientos</v>
      </c>
      <c r="E173" s="846" t="str">
        <f>+'Plan de Accion 2018'!B13</f>
        <v>Dirección de Gestión de Recursos Financieros de Salud</v>
      </c>
      <c r="F173" s="416" t="str">
        <f>+'Plan de Accion 2018'!R13</f>
        <v># procedimientos Aprobados / # Procedimientos identificados</v>
      </c>
      <c r="H173" s="327">
        <f>+'Plan de Accion 2018'!AA13</f>
        <v>0.23170731707317074</v>
      </c>
      <c r="I173" s="328">
        <f>+'Plan de Accion 2018'!BL13</f>
        <v>0.92682926829268297</v>
      </c>
      <c r="J173" s="330">
        <f>+'Plan de Accion 2018'!AE13</f>
        <v>0.23170731707317074</v>
      </c>
      <c r="K173" s="344"/>
      <c r="L173" s="327">
        <f>+'Plan de Accion 2018'!AK13</f>
        <v>0</v>
      </c>
      <c r="M173" s="328">
        <f>+'Plan de Accion 2018'!BN13</f>
        <v>0</v>
      </c>
      <c r="N173" s="330">
        <f>+'Plan de Accion 2018'!AO13</f>
        <v>0.23170731707317074</v>
      </c>
      <c r="O173" s="344"/>
      <c r="P173" s="327">
        <f>+'Plan de Accion 2018'!AU13</f>
        <v>0</v>
      </c>
      <c r="Q173" s="328">
        <f>+'Plan de Accion 2018'!BP13</f>
        <v>0</v>
      </c>
      <c r="R173" s="330">
        <f>+'Plan de Accion 2018'!AY13</f>
        <v>0.23170731707317074</v>
      </c>
      <c r="S173" s="344"/>
      <c r="T173" s="327">
        <f>+'Plan de Accion 2018'!BE13</f>
        <v>0</v>
      </c>
      <c r="U173" s="328">
        <f>+'Plan de Accion 2018'!BR13</f>
        <v>0</v>
      </c>
      <c r="V173" s="330">
        <f>+'Plan de Accion 2018'!BI13</f>
        <v>0.23170731707317074</v>
      </c>
      <c r="W173" s="797"/>
      <c r="Y173" s="788"/>
      <c r="Z173" s="785" t="e">
        <f>+Y173/#REF!</f>
        <v>#REF!</v>
      </c>
      <c r="AA173" s="326"/>
      <c r="AB173" s="791"/>
      <c r="AC173" s="785" t="e">
        <f>+AB173/#REF!</f>
        <v>#REF!</v>
      </c>
      <c r="AD173" s="326"/>
      <c r="AE173" s="785"/>
      <c r="AF173" s="785" t="e">
        <f>+AE173/#REF!</f>
        <v>#REF!</v>
      </c>
      <c r="AG173" s="326"/>
      <c r="AH173" s="785"/>
      <c r="AI173" s="785" t="e">
        <f>+AH173/#REF!</f>
        <v>#REF!</v>
      </c>
      <c r="AJ173" s="334"/>
      <c r="AK173" s="794"/>
      <c r="AM173" s="788"/>
      <c r="AN173" s="785" t="e">
        <f>+AM173/#REF!</f>
        <v>#REF!</v>
      </c>
      <c r="AO173" s="326"/>
      <c r="AP173" s="791"/>
      <c r="AQ173" s="785" t="e">
        <f>+AP173/#REF!</f>
        <v>#REF!</v>
      </c>
      <c r="AR173" s="326"/>
      <c r="AS173" s="785"/>
      <c r="AT173" s="785" t="e">
        <f>+AS173/#REF!</f>
        <v>#REF!</v>
      </c>
      <c r="AU173" s="326"/>
      <c r="AV173" s="785"/>
      <c r="AW173" s="785" t="e">
        <f>+AV173/#REF!</f>
        <v>#REF!</v>
      </c>
      <c r="AX173" s="334"/>
      <c r="AY173" s="794"/>
      <c r="BA173" s="788"/>
      <c r="BB173" s="785" t="e">
        <f>+BA173/#REF!</f>
        <v>#REF!</v>
      </c>
      <c r="BC173" s="326"/>
      <c r="BD173" s="791"/>
      <c r="BE173" s="785" t="e">
        <f>+BD173/#REF!</f>
        <v>#REF!</v>
      </c>
      <c r="BF173" s="326"/>
      <c r="BG173" s="785"/>
      <c r="BH173" s="785" t="e">
        <f>+BG173/#REF!</f>
        <v>#REF!</v>
      </c>
      <c r="BI173" s="326"/>
      <c r="BJ173" s="785"/>
      <c r="BK173" s="785" t="e">
        <f>+BJ173/#REF!</f>
        <v>#REF!</v>
      </c>
      <c r="BL173" s="334"/>
      <c r="BM173" s="794"/>
      <c r="BO173" s="788"/>
      <c r="BP173" s="785" t="e">
        <f>+BO173/#REF!</f>
        <v>#REF!</v>
      </c>
      <c r="BQ173" s="326"/>
      <c r="BR173" s="791"/>
      <c r="BS173" s="785" t="e">
        <f>+BR173/#REF!</f>
        <v>#REF!</v>
      </c>
      <c r="BT173" s="326"/>
      <c r="BU173" s="785"/>
      <c r="BV173" s="785" t="e">
        <f>+BU173/#REF!</f>
        <v>#REF!</v>
      </c>
      <c r="BW173" s="326"/>
      <c r="BX173" s="785"/>
      <c r="BY173" s="785" t="e">
        <f>+BX173/#REF!</f>
        <v>#REF!</v>
      </c>
      <c r="BZ173" s="334"/>
      <c r="CA173" s="794"/>
    </row>
    <row r="174" spans="2:79" ht="42.75" x14ac:dyDescent="0.2">
      <c r="B174" s="848"/>
      <c r="C174" s="812"/>
      <c r="D174" s="339" t="str">
        <f>+'Plan de Accion 2018'!F14</f>
        <v>Evaluar la gestión y resultados de los procesos de calidad de la Dependencia</v>
      </c>
      <c r="E174" s="818"/>
      <c r="F174" s="340" t="str">
        <f>+'Plan de Accion 2018'!R14</f>
        <v># Indicadores Medidos / # Indicadores Sujetos de Medición</v>
      </c>
      <c r="H174" s="336">
        <f>+'Plan de Accion 2018'!AA14</f>
        <v>0</v>
      </c>
      <c r="I174" s="337" t="str">
        <f>+'Plan de Accion 2018'!BL14</f>
        <v>No Prog ni Ejec</v>
      </c>
      <c r="J174" s="330">
        <f>+'Plan de Accion 2018'!AE14</f>
        <v>0</v>
      </c>
      <c r="K174" s="344"/>
      <c r="L174" s="336">
        <f>+'Plan de Accion 2018'!AK14</f>
        <v>0</v>
      </c>
      <c r="M174" s="337" t="str">
        <f>+'Plan de Accion 2018'!BN14</f>
        <v>No Prog ni Ejec</v>
      </c>
      <c r="N174" s="338">
        <f>+'Plan de Accion 2018'!AO14</f>
        <v>0</v>
      </c>
      <c r="O174" s="344"/>
      <c r="P174" s="336">
        <f>+'Plan de Accion 2018'!AU14</f>
        <v>0</v>
      </c>
      <c r="Q174" s="337" t="str">
        <f>+'Plan de Accion 2018'!BP14</f>
        <v>No Prog ni Ejec</v>
      </c>
      <c r="R174" s="338">
        <f>+'Plan de Accion 2018'!AY14</f>
        <v>0</v>
      </c>
      <c r="S174" s="344"/>
      <c r="T174" s="336">
        <f>+'Plan de Accion 2018'!BE14</f>
        <v>0</v>
      </c>
      <c r="U174" s="337">
        <f>+'Plan de Accion 2018'!BR14</f>
        <v>0</v>
      </c>
      <c r="V174" s="338">
        <f>+'Plan de Accion 2018'!BI14</f>
        <v>0</v>
      </c>
      <c r="W174" s="798"/>
      <c r="Y174" s="789"/>
      <c r="Z174" s="786"/>
      <c r="AA174" s="326"/>
      <c r="AB174" s="792"/>
      <c r="AC174" s="786"/>
      <c r="AD174" s="326"/>
      <c r="AE174" s="786"/>
      <c r="AF174" s="786"/>
      <c r="AG174" s="326"/>
      <c r="AH174" s="786"/>
      <c r="AI174" s="786"/>
      <c r="AJ174" s="334"/>
      <c r="AK174" s="795"/>
      <c r="AM174" s="789"/>
      <c r="AN174" s="786"/>
      <c r="AO174" s="326"/>
      <c r="AP174" s="792"/>
      <c r="AQ174" s="786"/>
      <c r="AR174" s="326"/>
      <c r="AS174" s="786"/>
      <c r="AT174" s="786"/>
      <c r="AU174" s="326"/>
      <c r="AV174" s="786"/>
      <c r="AW174" s="786"/>
      <c r="AX174" s="334"/>
      <c r="AY174" s="795"/>
      <c r="BA174" s="789"/>
      <c r="BB174" s="786"/>
      <c r="BC174" s="326"/>
      <c r="BD174" s="792"/>
      <c r="BE174" s="786"/>
      <c r="BF174" s="326"/>
      <c r="BG174" s="786"/>
      <c r="BH174" s="786"/>
      <c r="BI174" s="326"/>
      <c r="BJ174" s="786"/>
      <c r="BK174" s="786"/>
      <c r="BL174" s="334"/>
      <c r="BM174" s="795"/>
      <c r="BO174" s="789"/>
      <c r="BP174" s="786"/>
      <c r="BQ174" s="326"/>
      <c r="BR174" s="792"/>
      <c r="BS174" s="786"/>
      <c r="BT174" s="326"/>
      <c r="BU174" s="786"/>
      <c r="BV174" s="786"/>
      <c r="BW174" s="326"/>
      <c r="BX174" s="786"/>
      <c r="BY174" s="786"/>
      <c r="BZ174" s="334"/>
      <c r="CA174" s="795"/>
    </row>
    <row r="175" spans="2:79" ht="42.75" x14ac:dyDescent="0.2">
      <c r="B175" s="848"/>
      <c r="C175" s="812"/>
      <c r="D175" s="341" t="str">
        <f>+'Plan de Accion 2018'!F46</f>
        <v>Procesos y Procedimientos</v>
      </c>
      <c r="E175" s="818" t="str">
        <f>+'Plan de Accion 2018'!B46</f>
        <v>Dirección de Liquidaciones y Garantías</v>
      </c>
      <c r="F175" s="340" t="str">
        <f>+'Plan de Accion 2018'!R46</f>
        <v># procedimientos Aprobados / # Procedimientos identificados</v>
      </c>
      <c r="H175" s="336">
        <f>+'Plan de Accion 2018'!AA46</f>
        <v>0.94285714285714284</v>
      </c>
      <c r="I175" s="337">
        <f>+'Plan de Accion 2018'!BL46</f>
        <v>3.7714285714285714</v>
      </c>
      <c r="J175" s="330">
        <f>+'Plan de Accion 2018'!AE46</f>
        <v>0.94285714285714284</v>
      </c>
      <c r="K175" s="344"/>
      <c r="L175" s="336">
        <f>+'Plan de Accion 2018'!AK46</f>
        <v>0</v>
      </c>
      <c r="M175" s="337">
        <f>+'Plan de Accion 2018'!BN46</f>
        <v>0</v>
      </c>
      <c r="N175" s="338">
        <f>+'Plan de Accion 2018'!AO46</f>
        <v>0.94285714285714284</v>
      </c>
      <c r="O175" s="344"/>
      <c r="P175" s="336">
        <f>+'Plan de Accion 2018'!AU46</f>
        <v>0</v>
      </c>
      <c r="Q175" s="337">
        <f>+'Plan de Accion 2018'!BP46</f>
        <v>0</v>
      </c>
      <c r="R175" s="338">
        <f>+'Plan de Accion 2018'!AY46</f>
        <v>0.94285714285714284</v>
      </c>
      <c r="S175" s="344"/>
      <c r="T175" s="336">
        <f>+'Plan de Accion 2018'!BE46</f>
        <v>0</v>
      </c>
      <c r="U175" s="337">
        <f>+'Plan de Accion 2018'!BR46</f>
        <v>0</v>
      </c>
      <c r="V175" s="338">
        <f>+'Plan de Accion 2018'!BI46</f>
        <v>0.94285714285714284</v>
      </c>
      <c r="W175" s="798"/>
      <c r="Y175" s="789"/>
      <c r="Z175" s="786"/>
      <c r="AA175" s="326"/>
      <c r="AB175" s="792"/>
      <c r="AC175" s="786"/>
      <c r="AD175" s="326"/>
      <c r="AE175" s="786"/>
      <c r="AF175" s="786"/>
      <c r="AG175" s="326"/>
      <c r="AH175" s="786"/>
      <c r="AI175" s="786"/>
      <c r="AJ175" s="334"/>
      <c r="AK175" s="795"/>
      <c r="AM175" s="789"/>
      <c r="AN175" s="786"/>
      <c r="AO175" s="326"/>
      <c r="AP175" s="792"/>
      <c r="AQ175" s="786"/>
      <c r="AR175" s="326"/>
      <c r="AS175" s="786"/>
      <c r="AT175" s="786"/>
      <c r="AU175" s="326"/>
      <c r="AV175" s="786"/>
      <c r="AW175" s="786"/>
      <c r="AX175" s="334"/>
      <c r="AY175" s="795"/>
      <c r="BA175" s="789"/>
      <c r="BB175" s="786"/>
      <c r="BC175" s="326"/>
      <c r="BD175" s="792"/>
      <c r="BE175" s="786"/>
      <c r="BF175" s="326"/>
      <c r="BG175" s="786"/>
      <c r="BH175" s="786"/>
      <c r="BI175" s="326"/>
      <c r="BJ175" s="786"/>
      <c r="BK175" s="786"/>
      <c r="BL175" s="334"/>
      <c r="BM175" s="795"/>
      <c r="BO175" s="789"/>
      <c r="BP175" s="786"/>
      <c r="BQ175" s="326"/>
      <c r="BR175" s="792"/>
      <c r="BS175" s="786"/>
      <c r="BT175" s="326"/>
      <c r="BU175" s="786"/>
      <c r="BV175" s="786"/>
      <c r="BW175" s="326"/>
      <c r="BX175" s="786"/>
      <c r="BY175" s="786"/>
      <c r="BZ175" s="334"/>
      <c r="CA175" s="795"/>
    </row>
    <row r="176" spans="2:79" ht="42.75" x14ac:dyDescent="0.2">
      <c r="B176" s="848"/>
      <c r="C176" s="812"/>
      <c r="D176" s="339" t="str">
        <f>+'Plan de Accion 2018'!F47</f>
        <v>Evaluar la gestión y resultados de los procesos de calidad de la Dependencia</v>
      </c>
      <c r="E176" s="818"/>
      <c r="F176" s="340" t="str">
        <f>+'Plan de Accion 2018'!R47</f>
        <v># Indicadores Medidos / # Indicadores Sujetos de Medición</v>
      </c>
      <c r="H176" s="336">
        <f>+'Plan de Accion 2018'!AA47</f>
        <v>0</v>
      </c>
      <c r="I176" s="337" t="str">
        <f>+'Plan de Accion 2018'!BL47</f>
        <v>No Prog ni Ejec</v>
      </c>
      <c r="J176" s="330">
        <f>+'Plan de Accion 2018'!AE47</f>
        <v>0</v>
      </c>
      <c r="K176" s="344"/>
      <c r="L176" s="336">
        <f>+'Plan de Accion 2018'!AK47</f>
        <v>0</v>
      </c>
      <c r="M176" s="337" t="str">
        <f>+'Plan de Accion 2018'!BN47</f>
        <v>No Prog ni Ejec</v>
      </c>
      <c r="N176" s="338">
        <f>+'Plan de Accion 2018'!AO47</f>
        <v>0</v>
      </c>
      <c r="O176" s="344"/>
      <c r="P176" s="336">
        <f>+'Plan de Accion 2018'!AU47</f>
        <v>0</v>
      </c>
      <c r="Q176" s="337" t="str">
        <f>+'Plan de Accion 2018'!BP47</f>
        <v>No Prog ni Ejec</v>
      </c>
      <c r="R176" s="338">
        <f>+'Plan de Accion 2018'!AY47</f>
        <v>0</v>
      </c>
      <c r="S176" s="344"/>
      <c r="T176" s="336">
        <f>+'Plan de Accion 2018'!BE47</f>
        <v>0</v>
      </c>
      <c r="U176" s="337">
        <f>+'Plan de Accion 2018'!BR47</f>
        <v>0</v>
      </c>
      <c r="V176" s="338">
        <f>+'Plan de Accion 2018'!BI47</f>
        <v>0</v>
      </c>
      <c r="W176" s="798"/>
      <c r="Y176" s="789"/>
      <c r="Z176" s="786"/>
      <c r="AA176" s="326"/>
      <c r="AB176" s="792"/>
      <c r="AC176" s="786"/>
      <c r="AD176" s="326"/>
      <c r="AE176" s="786"/>
      <c r="AF176" s="786"/>
      <c r="AG176" s="326"/>
      <c r="AH176" s="786"/>
      <c r="AI176" s="786"/>
      <c r="AJ176" s="334"/>
      <c r="AK176" s="795"/>
      <c r="AM176" s="789"/>
      <c r="AN176" s="786"/>
      <c r="AO176" s="326"/>
      <c r="AP176" s="792"/>
      <c r="AQ176" s="786"/>
      <c r="AR176" s="326"/>
      <c r="AS176" s="786"/>
      <c r="AT176" s="786"/>
      <c r="AU176" s="326"/>
      <c r="AV176" s="786"/>
      <c r="AW176" s="786"/>
      <c r="AX176" s="334"/>
      <c r="AY176" s="795"/>
      <c r="BA176" s="789"/>
      <c r="BB176" s="786"/>
      <c r="BC176" s="326"/>
      <c r="BD176" s="792"/>
      <c r="BE176" s="786"/>
      <c r="BF176" s="326"/>
      <c r="BG176" s="786"/>
      <c r="BH176" s="786"/>
      <c r="BI176" s="326"/>
      <c r="BJ176" s="786"/>
      <c r="BK176" s="786"/>
      <c r="BL176" s="334"/>
      <c r="BM176" s="795"/>
      <c r="BO176" s="789"/>
      <c r="BP176" s="786"/>
      <c r="BQ176" s="326"/>
      <c r="BR176" s="792"/>
      <c r="BS176" s="786"/>
      <c r="BT176" s="326"/>
      <c r="BU176" s="786"/>
      <c r="BV176" s="786"/>
      <c r="BW176" s="326"/>
      <c r="BX176" s="786"/>
      <c r="BY176" s="786"/>
      <c r="BZ176" s="334"/>
      <c r="CA176" s="795"/>
    </row>
    <row r="177" spans="2:79" ht="43.5" thickBot="1" x14ac:dyDescent="0.25">
      <c r="B177" s="848"/>
      <c r="C177" s="812"/>
      <c r="D177" s="341" t="str">
        <f>+'Plan de Accion 2018'!F65</f>
        <v>Procesos y Procedimientos</v>
      </c>
      <c r="E177" s="818" t="str">
        <f>+'Plan de Accion 2018'!B65</f>
        <v xml:space="preserve">Dirección de Otras Prestaciones  </v>
      </c>
      <c r="F177" s="340" t="str">
        <f>+'Plan de Accion 2018'!R65</f>
        <v># procedimientos Aprobados / # Procedimientos identificados</v>
      </c>
      <c r="H177" s="336">
        <f>+'Plan de Accion 2018'!AA65</f>
        <v>0.25</v>
      </c>
      <c r="I177" s="337">
        <f>+'Plan de Accion 2018'!BL65</f>
        <v>1</v>
      </c>
      <c r="J177" s="330">
        <f>+'Plan de Accion 2018'!AE65</f>
        <v>0.25</v>
      </c>
      <c r="K177" s="344"/>
      <c r="L177" s="336">
        <f>+'Plan de Accion 2018'!AK65</f>
        <v>0</v>
      </c>
      <c r="M177" s="337">
        <f>+'Plan de Accion 2018'!BN65</f>
        <v>0</v>
      </c>
      <c r="N177" s="338">
        <f>+'Plan de Accion 2018'!AO65</f>
        <v>0.25</v>
      </c>
      <c r="O177" s="344"/>
      <c r="P177" s="336">
        <f>+'Plan de Accion 2018'!AU65</f>
        <v>0</v>
      </c>
      <c r="Q177" s="337">
        <f>+'Plan de Accion 2018'!BP65</f>
        <v>0</v>
      </c>
      <c r="R177" s="338">
        <f>+'Plan de Accion 2018'!AY65</f>
        <v>0.25</v>
      </c>
      <c r="S177" s="344"/>
      <c r="T177" s="336">
        <f>+'Plan de Accion 2018'!BE65</f>
        <v>0</v>
      </c>
      <c r="U177" s="337">
        <f>+'Plan de Accion 2018'!BR65</f>
        <v>0</v>
      </c>
      <c r="V177" s="338">
        <f>+'Plan de Accion 2018'!BI65</f>
        <v>0.25</v>
      </c>
      <c r="W177" s="799"/>
      <c r="Y177" s="790"/>
      <c r="Z177" s="787"/>
      <c r="AA177" s="326"/>
      <c r="AB177" s="793"/>
      <c r="AC177" s="787"/>
      <c r="AD177" s="326"/>
      <c r="AE177" s="787"/>
      <c r="AF177" s="787"/>
      <c r="AG177" s="326"/>
      <c r="AH177" s="787"/>
      <c r="AI177" s="787"/>
      <c r="AJ177" s="334"/>
      <c r="AK177" s="796"/>
      <c r="AM177" s="790"/>
      <c r="AN177" s="787"/>
      <c r="AO177" s="326"/>
      <c r="AP177" s="793"/>
      <c r="AQ177" s="787"/>
      <c r="AR177" s="326"/>
      <c r="AS177" s="787"/>
      <c r="AT177" s="787"/>
      <c r="AU177" s="326"/>
      <c r="AV177" s="787"/>
      <c r="AW177" s="787"/>
      <c r="AX177" s="334"/>
      <c r="AY177" s="796"/>
      <c r="BA177" s="790"/>
      <c r="BB177" s="787"/>
      <c r="BC177" s="326"/>
      <c r="BD177" s="793"/>
      <c r="BE177" s="787"/>
      <c r="BF177" s="326"/>
      <c r="BG177" s="787"/>
      <c r="BH177" s="787"/>
      <c r="BI177" s="326"/>
      <c r="BJ177" s="787"/>
      <c r="BK177" s="787"/>
      <c r="BL177" s="334"/>
      <c r="BM177" s="796"/>
      <c r="BO177" s="790"/>
      <c r="BP177" s="787"/>
      <c r="BQ177" s="326"/>
      <c r="BR177" s="793"/>
      <c r="BS177" s="787"/>
      <c r="BT177" s="326"/>
      <c r="BU177" s="787"/>
      <c r="BV177" s="787"/>
      <c r="BW177" s="326"/>
      <c r="BX177" s="787"/>
      <c r="BY177" s="787"/>
      <c r="BZ177" s="334"/>
      <c r="CA177" s="796"/>
    </row>
    <row r="178" spans="2:79" ht="42.75" x14ac:dyDescent="0.2">
      <c r="B178" s="848"/>
      <c r="C178" s="812"/>
      <c r="D178" s="339" t="str">
        <f>+'Plan de Accion 2018'!F66</f>
        <v>Evaluar la gestión y resultados de los procesos de calidad de la Dependencia</v>
      </c>
      <c r="E178" s="818"/>
      <c r="F178" s="340" t="str">
        <f>+'Plan de Accion 2018'!R66</f>
        <v># Indicadores Medidos / # Indicadores Sujetos de Medición</v>
      </c>
      <c r="H178" s="336">
        <f>+'Plan de Accion 2018'!AA66</f>
        <v>0</v>
      </c>
      <c r="I178" s="337" t="str">
        <f>+'Plan de Accion 2018'!BL66</f>
        <v>No Prog ni Ejec</v>
      </c>
      <c r="J178" s="330">
        <f>+'Plan de Accion 2018'!AE66</f>
        <v>0</v>
      </c>
      <c r="K178" s="344"/>
      <c r="L178" s="336">
        <f>+'Plan de Accion 2018'!AK66</f>
        <v>0</v>
      </c>
      <c r="M178" s="337" t="str">
        <f>+'Plan de Accion 2018'!BN66</f>
        <v>No Prog ni Ejec</v>
      </c>
      <c r="N178" s="338">
        <f>+'Plan de Accion 2018'!AO66</f>
        <v>0</v>
      </c>
      <c r="O178" s="344"/>
      <c r="P178" s="336">
        <f>+'Plan de Accion 2018'!AU66</f>
        <v>0</v>
      </c>
      <c r="Q178" s="337" t="str">
        <f>+'Plan de Accion 2018'!BP66</f>
        <v>No Prog ni Ejec</v>
      </c>
      <c r="R178" s="338">
        <f>+'Plan de Accion 2018'!AY66</f>
        <v>0</v>
      </c>
      <c r="S178" s="344"/>
      <c r="T178" s="336">
        <f>+'Plan de Accion 2018'!BE66</f>
        <v>0</v>
      </c>
      <c r="U178" s="337">
        <f>+'Plan de Accion 2018'!BR66</f>
        <v>0</v>
      </c>
      <c r="V178" s="338">
        <f>+'Plan de Accion 2018'!BI66</f>
        <v>0</v>
      </c>
      <c r="W178" s="797"/>
      <c r="Y178" s="785"/>
      <c r="Z178" s="785"/>
      <c r="AA178" s="326"/>
      <c r="AB178" s="791"/>
      <c r="AC178" s="785"/>
      <c r="AD178" s="326"/>
      <c r="AE178" s="785"/>
      <c r="AF178" s="785"/>
      <c r="AG178" s="326"/>
      <c r="AH178" s="785"/>
      <c r="AI178" s="785"/>
      <c r="AJ178" s="334"/>
      <c r="AK178" s="794"/>
      <c r="AM178" s="785"/>
      <c r="AN178" s="785"/>
      <c r="AO178" s="326"/>
      <c r="AP178" s="791"/>
      <c r="AQ178" s="785"/>
      <c r="AR178" s="326"/>
      <c r="AS178" s="785"/>
      <c r="AT178" s="785"/>
      <c r="AU178" s="326"/>
      <c r="AV178" s="785"/>
      <c r="AW178" s="785"/>
      <c r="AX178" s="334"/>
      <c r="AY178" s="794"/>
      <c r="BA178" s="785"/>
      <c r="BB178" s="785"/>
      <c r="BC178" s="326"/>
      <c r="BD178" s="791"/>
      <c r="BE178" s="785"/>
      <c r="BF178" s="326"/>
      <c r="BG178" s="785"/>
      <c r="BH178" s="785"/>
      <c r="BI178" s="326"/>
      <c r="BJ178" s="785"/>
      <c r="BK178" s="785"/>
      <c r="BL178" s="334"/>
      <c r="BM178" s="794"/>
      <c r="BO178" s="785"/>
      <c r="BP178" s="785"/>
      <c r="BQ178" s="326"/>
      <c r="BR178" s="791"/>
      <c r="BS178" s="785"/>
      <c r="BT178" s="326"/>
      <c r="BU178" s="785"/>
      <c r="BV178" s="785"/>
      <c r="BW178" s="326"/>
      <c r="BX178" s="785"/>
      <c r="BY178" s="785"/>
      <c r="BZ178" s="334"/>
      <c r="CA178" s="794"/>
    </row>
    <row r="179" spans="2:79" ht="42.75" x14ac:dyDescent="0.2">
      <c r="B179" s="848"/>
      <c r="C179" s="812"/>
      <c r="D179" s="339" t="str">
        <f>+'Plan de Accion 2018'!F77</f>
        <v>Procesos y Procedimientos</v>
      </c>
      <c r="E179" s="818" t="str">
        <f>+'Plan de Accion 2018'!B77</f>
        <v>Dirección de Gestión de Tecnología de la Información y la Comunicación</v>
      </c>
      <c r="F179" s="340" t="str">
        <f>+'Plan de Accion 2018'!R77</f>
        <v># Procedimientos Aprobados / # Procedimientos identificados</v>
      </c>
      <c r="H179" s="336">
        <f>+'Plan de Accion 2018'!AA77</f>
        <v>0.46150000000000002</v>
      </c>
      <c r="I179" s="337">
        <f>+'Plan de Accion 2018'!BL77</f>
        <v>1.8460000000000001</v>
      </c>
      <c r="J179" s="330">
        <f>+'Plan de Accion 2018'!AE77</f>
        <v>0.46150000000000002</v>
      </c>
      <c r="K179" s="344"/>
      <c r="L179" s="336">
        <f>+'Plan de Accion 2018'!AK77</f>
        <v>0</v>
      </c>
      <c r="M179" s="337">
        <f>+'Plan de Accion 2018'!BN77</f>
        <v>0</v>
      </c>
      <c r="N179" s="338">
        <f>+'Plan de Accion 2018'!AO77</f>
        <v>0.46150000000000002</v>
      </c>
      <c r="O179" s="344"/>
      <c r="P179" s="336">
        <f>+'Plan de Accion 2018'!AU77</f>
        <v>0</v>
      </c>
      <c r="Q179" s="337">
        <f>+'Plan de Accion 2018'!BP77</f>
        <v>0</v>
      </c>
      <c r="R179" s="338">
        <f>+'Plan de Accion 2018'!AY77</f>
        <v>0.46150000000000002</v>
      </c>
      <c r="S179" s="344"/>
      <c r="T179" s="336">
        <f>+'Plan de Accion 2018'!BE77</f>
        <v>0</v>
      </c>
      <c r="U179" s="337">
        <f>+'Plan de Accion 2018'!BR77</f>
        <v>0</v>
      </c>
      <c r="V179" s="338">
        <f>+'Plan de Accion 2018'!BI77</f>
        <v>0.46150000000000002</v>
      </c>
      <c r="W179" s="798"/>
      <c r="Y179" s="786"/>
      <c r="Z179" s="786"/>
      <c r="AA179" s="326"/>
      <c r="AB179" s="792"/>
      <c r="AC179" s="786"/>
      <c r="AD179" s="326"/>
      <c r="AE179" s="786"/>
      <c r="AF179" s="786"/>
      <c r="AG179" s="326"/>
      <c r="AH179" s="786"/>
      <c r="AI179" s="786"/>
      <c r="AJ179" s="334"/>
      <c r="AK179" s="795"/>
      <c r="AM179" s="786"/>
      <c r="AN179" s="786"/>
      <c r="AO179" s="326"/>
      <c r="AP179" s="792"/>
      <c r="AQ179" s="786"/>
      <c r="AR179" s="326"/>
      <c r="AS179" s="786"/>
      <c r="AT179" s="786"/>
      <c r="AU179" s="326"/>
      <c r="AV179" s="786"/>
      <c r="AW179" s="786"/>
      <c r="AX179" s="334"/>
      <c r="AY179" s="795"/>
      <c r="BA179" s="786"/>
      <c r="BB179" s="786"/>
      <c r="BC179" s="326"/>
      <c r="BD179" s="792"/>
      <c r="BE179" s="786"/>
      <c r="BF179" s="326"/>
      <c r="BG179" s="786"/>
      <c r="BH179" s="786"/>
      <c r="BI179" s="326"/>
      <c r="BJ179" s="786"/>
      <c r="BK179" s="786"/>
      <c r="BL179" s="334"/>
      <c r="BM179" s="795"/>
      <c r="BO179" s="786"/>
      <c r="BP179" s="786"/>
      <c r="BQ179" s="326"/>
      <c r="BR179" s="792"/>
      <c r="BS179" s="786"/>
      <c r="BT179" s="326"/>
      <c r="BU179" s="786"/>
      <c r="BV179" s="786"/>
      <c r="BW179" s="326"/>
      <c r="BX179" s="786"/>
      <c r="BY179" s="786"/>
      <c r="BZ179" s="334"/>
      <c r="CA179" s="795"/>
    </row>
    <row r="180" spans="2:79" ht="43.5" thickBot="1" x14ac:dyDescent="0.25">
      <c r="B180" s="848"/>
      <c r="C180" s="812"/>
      <c r="D180" s="339" t="str">
        <f>+'Plan de Accion 2018'!F78</f>
        <v>Evaluar la gestión y resultados de los procesos de calidad de la Dependencia</v>
      </c>
      <c r="E180" s="818"/>
      <c r="F180" s="340" t="str">
        <f>+'Plan de Accion 2018'!R78</f>
        <v># Informes Publicados / # Informes Proyectados a Publicar</v>
      </c>
      <c r="H180" s="336">
        <f>+'Plan de Accion 2018'!AA78</f>
        <v>0</v>
      </c>
      <c r="I180" s="337" t="str">
        <f>+'Plan de Accion 2018'!BL78</f>
        <v>No Prog ni Ejec</v>
      </c>
      <c r="J180" s="330">
        <f>+'Plan de Accion 2018'!AE78</f>
        <v>0</v>
      </c>
      <c r="K180" s="344"/>
      <c r="L180" s="336">
        <f>+'Plan de Accion 2018'!AK78</f>
        <v>0</v>
      </c>
      <c r="M180" s="337">
        <f>+'Plan de Accion 2018'!BN78</f>
        <v>0</v>
      </c>
      <c r="N180" s="338">
        <f>+'Plan de Accion 2018'!AO78</f>
        <v>0</v>
      </c>
      <c r="O180" s="344"/>
      <c r="P180" s="336">
        <f>+'Plan de Accion 2018'!AU78</f>
        <v>0</v>
      </c>
      <c r="Q180" s="337">
        <f>+'Plan de Accion 2018'!BP78</f>
        <v>0</v>
      </c>
      <c r="R180" s="338">
        <f>+'Plan de Accion 2018'!AY78</f>
        <v>0</v>
      </c>
      <c r="S180" s="344"/>
      <c r="T180" s="336">
        <f>+'Plan de Accion 2018'!BE78</f>
        <v>0</v>
      </c>
      <c r="U180" s="337">
        <f>+'Plan de Accion 2018'!BR78</f>
        <v>0</v>
      </c>
      <c r="V180" s="338">
        <f>+'Plan de Accion 2018'!BI78</f>
        <v>0</v>
      </c>
      <c r="W180" s="799"/>
      <c r="Y180" s="787"/>
      <c r="Z180" s="787"/>
      <c r="AA180" s="326"/>
      <c r="AB180" s="793"/>
      <c r="AC180" s="787"/>
      <c r="AD180" s="326"/>
      <c r="AE180" s="787"/>
      <c r="AF180" s="787"/>
      <c r="AG180" s="326"/>
      <c r="AH180" s="787"/>
      <c r="AI180" s="787"/>
      <c r="AJ180" s="334"/>
      <c r="AK180" s="796"/>
      <c r="AM180" s="787"/>
      <c r="AN180" s="787"/>
      <c r="AO180" s="326"/>
      <c r="AP180" s="793"/>
      <c r="AQ180" s="787"/>
      <c r="AR180" s="326"/>
      <c r="AS180" s="787"/>
      <c r="AT180" s="787"/>
      <c r="AU180" s="326"/>
      <c r="AV180" s="787"/>
      <c r="AW180" s="787"/>
      <c r="AX180" s="334"/>
      <c r="AY180" s="796"/>
      <c r="BA180" s="787"/>
      <c r="BB180" s="787"/>
      <c r="BC180" s="326"/>
      <c r="BD180" s="793"/>
      <c r="BE180" s="787"/>
      <c r="BF180" s="326"/>
      <c r="BG180" s="787"/>
      <c r="BH180" s="787"/>
      <c r="BI180" s="326"/>
      <c r="BJ180" s="787"/>
      <c r="BK180" s="787"/>
      <c r="BL180" s="334"/>
      <c r="BM180" s="796"/>
      <c r="BO180" s="787"/>
      <c r="BP180" s="787"/>
      <c r="BQ180" s="326"/>
      <c r="BR180" s="793"/>
      <c r="BS180" s="787"/>
      <c r="BT180" s="326"/>
      <c r="BU180" s="787"/>
      <c r="BV180" s="787"/>
      <c r="BW180" s="326"/>
      <c r="BX180" s="787"/>
      <c r="BY180" s="787"/>
      <c r="BZ180" s="334"/>
      <c r="CA180" s="796"/>
    </row>
    <row r="181" spans="2:79" ht="42.75" x14ac:dyDescent="0.2">
      <c r="B181" s="848"/>
      <c r="C181" s="812"/>
      <c r="D181" s="341" t="str">
        <f>+'Plan de Accion 2018'!F90</f>
        <v>Procesos y Procedimientos</v>
      </c>
      <c r="E181" s="818" t="str">
        <f>+'Plan de Accion 2018'!B90</f>
        <v>Dirección Administrativa y Financiera</v>
      </c>
      <c r="F181" s="340" t="str">
        <f>+'Plan de Accion 2018'!R90</f>
        <v># procedimientos Aprobados / # Procedimientos identificados</v>
      </c>
      <c r="H181" s="336">
        <f>+'Plan de Accion 2018'!AA90</f>
        <v>0.15</v>
      </c>
      <c r="I181" s="337">
        <f>+'Plan de Accion 2018'!BL90</f>
        <v>1</v>
      </c>
      <c r="J181" s="330">
        <f>+'Plan de Accion 2018'!AE90</f>
        <v>0.15</v>
      </c>
      <c r="K181" s="344"/>
      <c r="L181" s="336">
        <f>+'Plan de Accion 2018'!AK90</f>
        <v>0</v>
      </c>
      <c r="M181" s="337">
        <f>+'Plan de Accion 2018'!BN90</f>
        <v>0</v>
      </c>
      <c r="N181" s="338">
        <f>+'Plan de Accion 2018'!AO90</f>
        <v>0.15</v>
      </c>
      <c r="O181" s="344"/>
      <c r="P181" s="336">
        <f>+'Plan de Accion 2018'!AU90</f>
        <v>0</v>
      </c>
      <c r="Q181" s="337" t="str">
        <f>+'Plan de Accion 2018'!BP90</f>
        <v>No Prog ni Ejec</v>
      </c>
      <c r="R181" s="338">
        <f>+'Plan de Accion 2018'!AY90</f>
        <v>0.15</v>
      </c>
      <c r="S181" s="344"/>
      <c r="T181" s="336">
        <f>+'Plan de Accion 2018'!BE90</f>
        <v>0</v>
      </c>
      <c r="U181" s="337" t="str">
        <f>+'Plan de Accion 2018'!BR90</f>
        <v>No Prog ni Ejec</v>
      </c>
      <c r="V181" s="338">
        <f>+'Plan de Accion 2018'!BI90</f>
        <v>0.15</v>
      </c>
      <c r="W181" s="356"/>
      <c r="Y181" s="785"/>
      <c r="Z181" s="785"/>
      <c r="AA181" s="326"/>
      <c r="AB181" s="791"/>
      <c r="AC181" s="785"/>
      <c r="AD181" s="326"/>
      <c r="AE181" s="785"/>
      <c r="AF181" s="785"/>
      <c r="AG181" s="326"/>
      <c r="AH181" s="785"/>
      <c r="AI181" s="785"/>
      <c r="AJ181" s="334"/>
      <c r="AK181" s="357"/>
      <c r="AM181" s="785"/>
      <c r="AN181" s="785"/>
      <c r="AO181" s="326"/>
      <c r="AP181" s="791"/>
      <c r="AQ181" s="785"/>
      <c r="AR181" s="326"/>
      <c r="AS181" s="785"/>
      <c r="AT181" s="785"/>
      <c r="AU181" s="326"/>
      <c r="AV181" s="785"/>
      <c r="AW181" s="785"/>
      <c r="AX181" s="334"/>
      <c r="AY181" s="357"/>
      <c r="BA181" s="785"/>
      <c r="BB181" s="785"/>
      <c r="BC181" s="326"/>
      <c r="BD181" s="791"/>
      <c r="BE181" s="785"/>
      <c r="BF181" s="326"/>
      <c r="BG181" s="785"/>
      <c r="BH181" s="785"/>
      <c r="BI181" s="326"/>
      <c r="BJ181" s="785"/>
      <c r="BK181" s="785"/>
      <c r="BL181" s="334"/>
      <c r="BM181" s="357"/>
      <c r="BO181" s="785"/>
      <c r="BP181" s="785"/>
      <c r="BQ181" s="326"/>
      <c r="BR181" s="791"/>
      <c r="BS181" s="785"/>
      <c r="BT181" s="326"/>
      <c r="BU181" s="785"/>
      <c r="BV181" s="785"/>
      <c r="BW181" s="326"/>
      <c r="BX181" s="785"/>
      <c r="BY181" s="785"/>
      <c r="BZ181" s="334"/>
      <c r="CA181" s="357"/>
    </row>
    <row r="182" spans="2:79" ht="42.75" x14ac:dyDescent="0.2">
      <c r="B182" s="848"/>
      <c r="C182" s="812"/>
      <c r="D182" s="339" t="str">
        <f>+'Plan de Accion 2018'!F91</f>
        <v>Evaluar la gestión y resultados de los procesos de calidad de la Dependencia</v>
      </c>
      <c r="E182" s="818"/>
      <c r="F182" s="340" t="str">
        <f>+'Plan de Accion 2018'!R91</f>
        <v># Indicadores Medidos / # Indicadores Sujetos de Medición</v>
      </c>
      <c r="H182" s="336">
        <f>+'Plan de Accion 2018'!AA91</f>
        <v>0</v>
      </c>
      <c r="I182" s="337" t="str">
        <f>+'Plan de Accion 2018'!BL91</f>
        <v>No Prog ni Ejec</v>
      </c>
      <c r="J182" s="330">
        <f>+'Plan de Accion 2018'!AE91</f>
        <v>0</v>
      </c>
      <c r="K182" s="344"/>
      <c r="L182" s="336">
        <f>+'Plan de Accion 2018'!AK91</f>
        <v>0</v>
      </c>
      <c r="M182" s="337" t="str">
        <f>+'Plan de Accion 2018'!BN91</f>
        <v>No Prog ni Ejec</v>
      </c>
      <c r="N182" s="338">
        <f>+'Plan de Accion 2018'!AO91</f>
        <v>0</v>
      </c>
      <c r="O182" s="344"/>
      <c r="P182" s="336">
        <f>+'Plan de Accion 2018'!AU91</f>
        <v>0</v>
      </c>
      <c r="Q182" s="337" t="str">
        <f>+'Plan de Accion 2018'!BP91</f>
        <v>No Prog ni Ejec</v>
      </c>
      <c r="R182" s="338">
        <f>+'Plan de Accion 2018'!AY91</f>
        <v>0</v>
      </c>
      <c r="S182" s="344"/>
      <c r="T182" s="336">
        <f>+'Plan de Accion 2018'!BE91</f>
        <v>0</v>
      </c>
      <c r="U182" s="337">
        <f>+'Plan de Accion 2018'!BR91</f>
        <v>0</v>
      </c>
      <c r="V182" s="338">
        <f>+'Plan de Accion 2018'!BI91</f>
        <v>0</v>
      </c>
      <c r="W182" s="358"/>
      <c r="Y182" s="786"/>
      <c r="Z182" s="786"/>
      <c r="AA182" s="326"/>
      <c r="AB182" s="792"/>
      <c r="AC182" s="786"/>
      <c r="AD182" s="326"/>
      <c r="AE182" s="786"/>
      <c r="AF182" s="786"/>
      <c r="AG182" s="326"/>
      <c r="AH182" s="786"/>
      <c r="AI182" s="786"/>
      <c r="AJ182" s="334"/>
      <c r="AK182" s="359"/>
      <c r="AM182" s="786"/>
      <c r="AN182" s="786"/>
      <c r="AO182" s="326"/>
      <c r="AP182" s="792"/>
      <c r="AQ182" s="786"/>
      <c r="AR182" s="326"/>
      <c r="AS182" s="786"/>
      <c r="AT182" s="786"/>
      <c r="AU182" s="326"/>
      <c r="AV182" s="786"/>
      <c r="AW182" s="786"/>
      <c r="AX182" s="334"/>
      <c r="AY182" s="359"/>
      <c r="BA182" s="786"/>
      <c r="BB182" s="786"/>
      <c r="BC182" s="326"/>
      <c r="BD182" s="792"/>
      <c r="BE182" s="786"/>
      <c r="BF182" s="326"/>
      <c r="BG182" s="786"/>
      <c r="BH182" s="786"/>
      <c r="BI182" s="326"/>
      <c r="BJ182" s="786"/>
      <c r="BK182" s="786"/>
      <c r="BL182" s="334"/>
      <c r="BM182" s="359"/>
      <c r="BO182" s="786"/>
      <c r="BP182" s="786"/>
      <c r="BQ182" s="326"/>
      <c r="BR182" s="792"/>
      <c r="BS182" s="786"/>
      <c r="BT182" s="326"/>
      <c r="BU182" s="786"/>
      <c r="BV182" s="786"/>
      <c r="BW182" s="326"/>
      <c r="BX182" s="786"/>
      <c r="BY182" s="786"/>
      <c r="BZ182" s="334"/>
      <c r="CA182" s="359"/>
    </row>
    <row r="183" spans="2:79" ht="27.75" customHeight="1" thickBot="1" x14ac:dyDescent="0.25">
      <c r="B183" s="848"/>
      <c r="C183" s="812"/>
      <c r="D183" s="341" t="str">
        <f>+'Plan de Accion 2018'!F99</f>
        <v>Trámite los Procesos  Precontractuales y Contractuales para la adquisición de Bienes y Servicios de conformidad con lo establecido en el Plan de Adquisiciones de la Dirección Administrativa y Financiera</v>
      </c>
      <c r="E183" s="818"/>
      <c r="F183" s="340" t="str">
        <f>+'Plan de Accion 2018'!R99</f>
        <v># Procesos contractuales tramitados / # Procesos contractuales incluidos en el Plan Anual de Adquisiciones y requeridos por las dependencias de la ADRES</v>
      </c>
      <c r="H183" s="336">
        <f>+'Plan de Accion 2018'!AA99</f>
        <v>0.24642857142857144</v>
      </c>
      <c r="I183" s="337">
        <f>+'Plan de Accion 2018'!BL99</f>
        <v>0.98571428571428577</v>
      </c>
      <c r="J183" s="330">
        <f>+'Plan de Accion 2018'!AE99</f>
        <v>0.24642857142857144</v>
      </c>
      <c r="K183" s="344"/>
      <c r="L183" s="336">
        <f>+'Plan de Accion 2018'!AK99</f>
        <v>0</v>
      </c>
      <c r="M183" s="337">
        <f>+'Plan de Accion 2018'!BN99</f>
        <v>0</v>
      </c>
      <c r="N183" s="338">
        <f>+'Plan de Accion 2018'!AO99</f>
        <v>0.24642857142857144</v>
      </c>
      <c r="O183" s="344"/>
      <c r="P183" s="336">
        <f>+'Plan de Accion 2018'!AU99</f>
        <v>0</v>
      </c>
      <c r="Q183" s="337">
        <f>+'Plan de Accion 2018'!BP99</f>
        <v>0</v>
      </c>
      <c r="R183" s="338">
        <f>+'Plan de Accion 2018'!AY99</f>
        <v>0.24642857142857144</v>
      </c>
      <c r="S183" s="344"/>
      <c r="T183" s="336">
        <f>+'Plan de Accion 2018'!BE99</f>
        <v>0</v>
      </c>
      <c r="U183" s="337">
        <f>+'Plan de Accion 2018'!BR99</f>
        <v>0</v>
      </c>
      <c r="V183" s="338">
        <f>+'Plan de Accion 2018'!BI99</f>
        <v>0.24642857142857144</v>
      </c>
      <c r="W183" s="360"/>
      <c r="Y183" s="787"/>
      <c r="Z183" s="787"/>
      <c r="AA183" s="326"/>
      <c r="AB183" s="793"/>
      <c r="AC183" s="787"/>
      <c r="AD183" s="326"/>
      <c r="AE183" s="787"/>
      <c r="AF183" s="787"/>
      <c r="AG183" s="326"/>
      <c r="AH183" s="787"/>
      <c r="AI183" s="787"/>
      <c r="AJ183" s="334"/>
      <c r="AK183" s="361"/>
      <c r="AM183" s="787"/>
      <c r="AN183" s="787"/>
      <c r="AO183" s="326"/>
      <c r="AP183" s="793"/>
      <c r="AQ183" s="787"/>
      <c r="AR183" s="326"/>
      <c r="AS183" s="787"/>
      <c r="AT183" s="787"/>
      <c r="AU183" s="326"/>
      <c r="AV183" s="787"/>
      <c r="AW183" s="787"/>
      <c r="AX183" s="334"/>
      <c r="AY183" s="361"/>
      <c r="BA183" s="787"/>
      <c r="BB183" s="787"/>
      <c r="BC183" s="326"/>
      <c r="BD183" s="793"/>
      <c r="BE183" s="787"/>
      <c r="BF183" s="326"/>
      <c r="BG183" s="787"/>
      <c r="BH183" s="787"/>
      <c r="BI183" s="326"/>
      <c r="BJ183" s="787"/>
      <c r="BK183" s="787"/>
      <c r="BL183" s="334"/>
      <c r="BM183" s="361"/>
      <c r="BO183" s="787"/>
      <c r="BP183" s="787"/>
      <c r="BQ183" s="326"/>
      <c r="BR183" s="793"/>
      <c r="BS183" s="787"/>
      <c r="BT183" s="326"/>
      <c r="BU183" s="787"/>
      <c r="BV183" s="787"/>
      <c r="BW183" s="326"/>
      <c r="BX183" s="787"/>
      <c r="BY183" s="787"/>
      <c r="BZ183" s="334"/>
      <c r="CA183" s="361"/>
    </row>
    <row r="184" spans="2:79" ht="57" x14ac:dyDescent="0.2">
      <c r="B184" s="848"/>
      <c r="C184" s="812"/>
      <c r="D184" s="341" t="str">
        <f>+'Plan de Accion 2018'!F100</f>
        <v>Elaborar las constancias de Archivos  y/o actas de liquidaciones de los procesos contractuales</v>
      </c>
      <c r="E184" s="818"/>
      <c r="F184" s="340" t="str">
        <f>+'Plan de Accion 2018'!R100</f>
        <v># Autos de cierre o actas de liquidación elaboradas / # contratos con ejecución finalizada</v>
      </c>
      <c r="H184" s="336">
        <f>+'Plan de Accion 2018'!AA100</f>
        <v>0.20689655172413793</v>
      </c>
      <c r="I184" s="337">
        <f>+'Plan de Accion 2018'!BL100</f>
        <v>0.82758620689655171</v>
      </c>
      <c r="J184" s="330">
        <f>+'Plan de Accion 2018'!AE100</f>
        <v>0.20689655172413793</v>
      </c>
      <c r="K184" s="344"/>
      <c r="L184" s="336">
        <f>+'Plan de Accion 2018'!AK100</f>
        <v>0</v>
      </c>
      <c r="M184" s="337">
        <f>+'Plan de Accion 2018'!BN100</f>
        <v>0</v>
      </c>
      <c r="N184" s="338">
        <f>+'Plan de Accion 2018'!AO100</f>
        <v>0.20689655172413793</v>
      </c>
      <c r="O184" s="344"/>
      <c r="P184" s="336">
        <f>+'Plan de Accion 2018'!AU100</f>
        <v>0</v>
      </c>
      <c r="Q184" s="337">
        <f>+'Plan de Accion 2018'!BP100</f>
        <v>0</v>
      </c>
      <c r="R184" s="338">
        <f>+'Plan de Accion 2018'!AY100</f>
        <v>0.20689655172413793</v>
      </c>
      <c r="S184" s="344"/>
      <c r="T184" s="336">
        <f>+'Plan de Accion 2018'!BE100</f>
        <v>0</v>
      </c>
      <c r="U184" s="337">
        <f>+'Plan de Accion 2018'!BR100</f>
        <v>0</v>
      </c>
      <c r="V184" s="338">
        <f>+'Plan de Accion 2018'!BI100</f>
        <v>0.20689655172413793</v>
      </c>
      <c r="W184" s="396"/>
      <c r="Y184" s="786"/>
      <c r="Z184" s="785"/>
      <c r="AA184" s="326"/>
      <c r="AB184" s="792"/>
      <c r="AC184" s="785"/>
      <c r="AD184" s="326"/>
      <c r="AE184" s="786"/>
      <c r="AF184" s="785"/>
      <c r="AG184" s="326"/>
      <c r="AH184" s="786"/>
      <c r="AI184" s="785"/>
      <c r="AJ184" s="334"/>
      <c r="AK184" s="399"/>
      <c r="AM184" s="786"/>
      <c r="AN184" s="785"/>
      <c r="AO184" s="326"/>
      <c r="AP184" s="792"/>
      <c r="AQ184" s="785"/>
      <c r="AR184" s="326"/>
      <c r="AS184" s="786"/>
      <c r="AT184" s="785"/>
      <c r="AU184" s="326"/>
      <c r="AV184" s="786"/>
      <c r="AW184" s="785"/>
      <c r="AX184" s="334"/>
      <c r="AY184" s="399"/>
      <c r="BA184" s="786"/>
      <c r="BB184" s="785"/>
      <c r="BC184" s="326"/>
      <c r="BD184" s="792"/>
      <c r="BE184" s="785"/>
      <c r="BF184" s="326"/>
      <c r="BG184" s="786"/>
      <c r="BH184" s="785"/>
      <c r="BI184" s="326"/>
      <c r="BJ184" s="786"/>
      <c r="BK184" s="785"/>
      <c r="BL184" s="334"/>
      <c r="BM184" s="399"/>
      <c r="BO184" s="786"/>
      <c r="BP184" s="785"/>
      <c r="BQ184" s="326"/>
      <c r="BR184" s="792"/>
      <c r="BS184" s="785"/>
      <c r="BT184" s="326"/>
      <c r="BU184" s="786"/>
      <c r="BV184" s="785"/>
      <c r="BW184" s="326"/>
      <c r="BX184" s="786"/>
      <c r="BY184" s="785"/>
      <c r="BZ184" s="334"/>
      <c r="CA184" s="399"/>
    </row>
    <row r="185" spans="2:79" ht="15" x14ac:dyDescent="0.2">
      <c r="B185" s="848"/>
      <c r="C185" s="812"/>
      <c r="D185" s="341" t="str">
        <f>+'Plan de Accion 2018'!F104</f>
        <v>Sistema de nómina ( Solredes)</v>
      </c>
      <c r="E185" s="818"/>
      <c r="F185" s="340" t="str">
        <f>+'Plan de Accion 2018'!R104</f>
        <v># de nóminas generadas</v>
      </c>
      <c r="H185" s="336">
        <f>+'Plan de Accion 2018'!AA104</f>
        <v>4</v>
      </c>
      <c r="I185" s="337">
        <f>+'Plan de Accion 2018'!BL104</f>
        <v>1.3333333333333333</v>
      </c>
      <c r="J185" s="330">
        <f>+'Plan de Accion 2018'!AE104</f>
        <v>0.33333333333333331</v>
      </c>
      <c r="K185" s="344"/>
      <c r="L185" s="336">
        <f>+'Plan de Accion 2018'!AK104</f>
        <v>0</v>
      </c>
      <c r="M185" s="337">
        <f>+'Plan de Accion 2018'!BN104</f>
        <v>0</v>
      </c>
      <c r="N185" s="338">
        <f>+'Plan de Accion 2018'!AO104</f>
        <v>0.33333333333333331</v>
      </c>
      <c r="O185" s="344"/>
      <c r="P185" s="336">
        <f>+'Plan de Accion 2018'!AU104</f>
        <v>0</v>
      </c>
      <c r="Q185" s="337">
        <f>+'Plan de Accion 2018'!BP104</f>
        <v>0</v>
      </c>
      <c r="R185" s="338">
        <f>+'Plan de Accion 2018'!AY104</f>
        <v>0.33333333333333331</v>
      </c>
      <c r="S185" s="344"/>
      <c r="T185" s="336">
        <f>+'Plan de Accion 2018'!BE104</f>
        <v>0</v>
      </c>
      <c r="U185" s="337">
        <f>+'Plan de Accion 2018'!BR104</f>
        <v>0</v>
      </c>
      <c r="V185" s="338">
        <f>+'Plan de Accion 2018'!BI104</f>
        <v>0.33333333333333331</v>
      </c>
      <c r="W185" s="396"/>
      <c r="Y185" s="786"/>
      <c r="Z185" s="786"/>
      <c r="AA185" s="326"/>
      <c r="AB185" s="792"/>
      <c r="AC185" s="786"/>
      <c r="AD185" s="326"/>
      <c r="AE185" s="786"/>
      <c r="AF185" s="786"/>
      <c r="AG185" s="326"/>
      <c r="AH185" s="786"/>
      <c r="AI185" s="786"/>
      <c r="AJ185" s="334"/>
      <c r="AK185" s="399"/>
      <c r="AM185" s="786"/>
      <c r="AN185" s="786"/>
      <c r="AO185" s="326"/>
      <c r="AP185" s="792"/>
      <c r="AQ185" s="786"/>
      <c r="AR185" s="326"/>
      <c r="AS185" s="786"/>
      <c r="AT185" s="786"/>
      <c r="AU185" s="326"/>
      <c r="AV185" s="786"/>
      <c r="AW185" s="786"/>
      <c r="AX185" s="334"/>
      <c r="AY185" s="399"/>
      <c r="BA185" s="786"/>
      <c r="BB185" s="786"/>
      <c r="BC185" s="326"/>
      <c r="BD185" s="792"/>
      <c r="BE185" s="786"/>
      <c r="BF185" s="326"/>
      <c r="BG185" s="786"/>
      <c r="BH185" s="786"/>
      <c r="BI185" s="326"/>
      <c r="BJ185" s="786"/>
      <c r="BK185" s="786"/>
      <c r="BL185" s="334"/>
      <c r="BM185" s="399"/>
      <c r="BO185" s="786"/>
      <c r="BP185" s="786"/>
      <c r="BQ185" s="326"/>
      <c r="BR185" s="792"/>
      <c r="BS185" s="786"/>
      <c r="BT185" s="326"/>
      <c r="BU185" s="786"/>
      <c r="BV185" s="786"/>
      <c r="BW185" s="326"/>
      <c r="BX185" s="786"/>
      <c r="BY185" s="786"/>
      <c r="BZ185" s="334"/>
      <c r="CA185" s="399"/>
    </row>
    <row r="186" spans="2:79" ht="43.5" thickBot="1" x14ac:dyDescent="0.25">
      <c r="B186" s="848"/>
      <c r="C186" s="812"/>
      <c r="D186" s="341" t="str">
        <f>+'Plan de Accion 2018'!F110</f>
        <v>Gestión de Correspondencia</v>
      </c>
      <c r="E186" s="818"/>
      <c r="F186" s="340" t="str">
        <f>+'Plan de Accion 2018'!R110</f>
        <v>No. De documentos radicados y gestionados/No. De documentos recibidos</v>
      </c>
      <c r="H186" s="336">
        <f>+'Plan de Accion 2018'!AA110</f>
        <v>0.25</v>
      </c>
      <c r="I186" s="337">
        <f>+'Plan de Accion 2018'!BL110</f>
        <v>1</v>
      </c>
      <c r="J186" s="330">
        <f>+'Plan de Accion 2018'!AE110</f>
        <v>0.25</v>
      </c>
      <c r="K186" s="344"/>
      <c r="L186" s="336">
        <f>+'Plan de Accion 2018'!AK110</f>
        <v>0</v>
      </c>
      <c r="M186" s="337">
        <f>+'Plan de Accion 2018'!BN110</f>
        <v>0</v>
      </c>
      <c r="N186" s="338">
        <f>+'Plan de Accion 2018'!AO110</f>
        <v>0.25</v>
      </c>
      <c r="O186" s="344"/>
      <c r="P186" s="336">
        <f>+'Plan de Accion 2018'!AU110</f>
        <v>0</v>
      </c>
      <c r="Q186" s="337">
        <f>+'Plan de Accion 2018'!BP110</f>
        <v>0</v>
      </c>
      <c r="R186" s="338">
        <f>+'Plan de Accion 2018'!AY110</f>
        <v>0.25</v>
      </c>
      <c r="S186" s="344"/>
      <c r="T186" s="336">
        <f>+'Plan de Accion 2018'!BE110</f>
        <v>0</v>
      </c>
      <c r="U186" s="337">
        <f>+'Plan de Accion 2018'!BR110</f>
        <v>0</v>
      </c>
      <c r="V186" s="338">
        <f>+'Plan de Accion 2018'!BI110</f>
        <v>0.25</v>
      </c>
      <c r="W186" s="421"/>
      <c r="Y186" s="787"/>
      <c r="Z186" s="787"/>
      <c r="AA186" s="326"/>
      <c r="AB186" s="793"/>
      <c r="AC186" s="787"/>
      <c r="AD186" s="326"/>
      <c r="AE186" s="787"/>
      <c r="AF186" s="787"/>
      <c r="AG186" s="326"/>
      <c r="AH186" s="787"/>
      <c r="AI186" s="787"/>
      <c r="AJ186" s="334"/>
      <c r="AK186" s="422"/>
      <c r="AM186" s="787"/>
      <c r="AN186" s="787"/>
      <c r="AO186" s="326"/>
      <c r="AP186" s="793"/>
      <c r="AQ186" s="787"/>
      <c r="AR186" s="326"/>
      <c r="AS186" s="787"/>
      <c r="AT186" s="787"/>
      <c r="AU186" s="326"/>
      <c r="AV186" s="787"/>
      <c r="AW186" s="787"/>
      <c r="AX186" s="334"/>
      <c r="AY186" s="422"/>
      <c r="BA186" s="787"/>
      <c r="BB186" s="787"/>
      <c r="BC186" s="326"/>
      <c r="BD186" s="793"/>
      <c r="BE186" s="787"/>
      <c r="BF186" s="326"/>
      <c r="BG186" s="787"/>
      <c r="BH186" s="787"/>
      <c r="BI186" s="326"/>
      <c r="BJ186" s="787"/>
      <c r="BK186" s="787"/>
      <c r="BL186" s="334"/>
      <c r="BM186" s="422"/>
      <c r="BO186" s="787"/>
      <c r="BP186" s="787"/>
      <c r="BQ186" s="326"/>
      <c r="BR186" s="793"/>
      <c r="BS186" s="787"/>
      <c r="BT186" s="326"/>
      <c r="BU186" s="787"/>
      <c r="BV186" s="787"/>
      <c r="BW186" s="326"/>
      <c r="BX186" s="787"/>
      <c r="BY186" s="787"/>
      <c r="BZ186" s="334"/>
      <c r="CA186" s="422"/>
    </row>
    <row r="187" spans="2:79" ht="43.5" thickBot="1" x14ac:dyDescent="0.25">
      <c r="B187" s="848"/>
      <c r="C187" s="812"/>
      <c r="D187" s="341" t="str">
        <f>+'Plan de Accion 2018'!F113</f>
        <v>Custodia documental y atención de consultas</v>
      </c>
      <c r="E187" s="818"/>
      <c r="F187" s="340" t="str">
        <f>+'Plan de Accion 2018'!R113</f>
        <v>No. De consultas gestionadas/No. De consultas realizadas</v>
      </c>
      <c r="H187" s="336">
        <f>+'Plan de Accion 2018'!AA113</f>
        <v>0.22429906542056074</v>
      </c>
      <c r="I187" s="337">
        <f>+'Plan de Accion 2018'!BL113</f>
        <v>0.89719626168224298</v>
      </c>
      <c r="J187" s="330">
        <f>+'Plan de Accion 2018'!AE113</f>
        <v>0.22429906542056074</v>
      </c>
      <c r="K187" s="344"/>
      <c r="L187" s="336">
        <f>+'Plan de Accion 2018'!AK113</f>
        <v>0</v>
      </c>
      <c r="M187" s="337">
        <f>+'Plan de Accion 2018'!BN113</f>
        <v>0</v>
      </c>
      <c r="N187" s="338">
        <f>+'Plan de Accion 2018'!AO113</f>
        <v>0.22429906542056074</v>
      </c>
      <c r="O187" s="344"/>
      <c r="P187" s="336">
        <f>+'Plan de Accion 2018'!AU113</f>
        <v>0</v>
      </c>
      <c r="Q187" s="337">
        <f>+'Plan de Accion 2018'!BP113</f>
        <v>0</v>
      </c>
      <c r="R187" s="338">
        <f>+'Plan de Accion 2018'!AY113</f>
        <v>0.22429906542056074</v>
      </c>
      <c r="S187" s="344"/>
      <c r="T187" s="336">
        <f>+'Plan de Accion 2018'!BE113</f>
        <v>0</v>
      </c>
      <c r="U187" s="337">
        <f>+'Plan de Accion 2018'!BR113</f>
        <v>0</v>
      </c>
      <c r="V187" s="338">
        <f>+'Plan de Accion 2018'!BI113</f>
        <v>0.22429906542056074</v>
      </c>
      <c r="W187" s="423"/>
      <c r="Y187" s="424"/>
      <c r="Z187" s="425"/>
      <c r="AA187" s="326"/>
      <c r="AB187" s="424"/>
      <c r="AC187" s="425"/>
      <c r="AD187" s="326"/>
      <c r="AE187" s="424"/>
      <c r="AF187" s="425"/>
      <c r="AG187" s="326"/>
      <c r="AH187" s="424"/>
      <c r="AI187" s="425"/>
      <c r="AJ187" s="334"/>
      <c r="AK187" s="423"/>
      <c r="AM187" s="424"/>
      <c r="AN187" s="425"/>
      <c r="AO187" s="326"/>
      <c r="AP187" s="424"/>
      <c r="AQ187" s="425"/>
      <c r="AR187" s="326"/>
      <c r="AS187" s="424"/>
      <c r="AT187" s="425"/>
      <c r="AU187" s="326"/>
      <c r="AV187" s="424"/>
      <c r="AW187" s="425"/>
      <c r="AX187" s="334"/>
      <c r="AY187" s="423"/>
      <c r="BA187" s="424"/>
      <c r="BB187" s="425"/>
      <c r="BC187" s="326"/>
      <c r="BD187" s="424"/>
      <c r="BE187" s="425"/>
      <c r="BF187" s="326"/>
      <c r="BG187" s="424"/>
      <c r="BH187" s="425"/>
      <c r="BI187" s="326"/>
      <c r="BJ187" s="424"/>
      <c r="BK187" s="425"/>
      <c r="BL187" s="334"/>
      <c r="BM187" s="423"/>
      <c r="BO187" s="424"/>
      <c r="BP187" s="425"/>
      <c r="BQ187" s="326"/>
      <c r="BR187" s="424"/>
      <c r="BS187" s="425"/>
      <c r="BT187" s="326"/>
      <c r="BU187" s="424"/>
      <c r="BV187" s="425"/>
      <c r="BW187" s="326"/>
      <c r="BX187" s="424"/>
      <c r="BY187" s="425"/>
      <c r="BZ187" s="334"/>
      <c r="CA187" s="423"/>
    </row>
    <row r="188" spans="2:79" ht="43.5" thickBot="1" x14ac:dyDescent="0.25">
      <c r="B188" s="848"/>
      <c r="C188" s="812"/>
      <c r="D188" s="341" t="str">
        <f>+'Plan de Accion 2018'!F115</f>
        <v>Procesos y Procedimientos</v>
      </c>
      <c r="E188" s="818" t="str">
        <f>+'Plan de Accion 2018'!B115</f>
        <v>Oficina de Control Interno</v>
      </c>
      <c r="F188" s="340" t="str">
        <f>+'Plan de Accion 2018'!R115</f>
        <v># procedimientos Aprobados / # Procedimientos identificados</v>
      </c>
      <c r="H188" s="336">
        <f>+'Plan de Accion 2018'!AA115</f>
        <v>0</v>
      </c>
      <c r="I188" s="337" t="str">
        <f>+'Plan de Accion 2018'!BL115</f>
        <v>No Prog ni Ejec</v>
      </c>
      <c r="J188" s="330">
        <f>+'Plan de Accion 2018'!AE115</f>
        <v>0</v>
      </c>
      <c r="K188" s="344"/>
      <c r="L188" s="336">
        <f>+'Plan de Accion 2018'!AK115</f>
        <v>0</v>
      </c>
      <c r="M188" s="337">
        <f>+'Plan de Accion 2018'!BN115</f>
        <v>0</v>
      </c>
      <c r="N188" s="338">
        <f>+'Plan de Accion 2018'!AO115</f>
        <v>0</v>
      </c>
      <c r="O188" s="344"/>
      <c r="P188" s="336">
        <f>+'Plan de Accion 2018'!AU115</f>
        <v>0</v>
      </c>
      <c r="Q188" s="337" t="str">
        <f>+'Plan de Accion 2018'!BP115</f>
        <v>No Prog ni Ejec</v>
      </c>
      <c r="R188" s="338">
        <f>+'Plan de Accion 2018'!AY115</f>
        <v>0</v>
      </c>
      <c r="S188" s="344"/>
      <c r="T188" s="336">
        <f>+'Plan de Accion 2018'!BE115</f>
        <v>0</v>
      </c>
      <c r="U188" s="337" t="str">
        <f>+'Plan de Accion 2018'!BR115</f>
        <v>No Prog ni Ejec</v>
      </c>
      <c r="V188" s="338">
        <f>+'Plan de Accion 2018'!BI115</f>
        <v>0</v>
      </c>
      <c r="W188" s="423"/>
      <c r="Y188" s="424"/>
      <c r="Z188" s="425"/>
      <c r="AA188" s="326"/>
      <c r="AB188" s="424"/>
      <c r="AC188" s="425"/>
      <c r="AD188" s="326"/>
      <c r="AE188" s="424"/>
      <c r="AF188" s="425"/>
      <c r="AG188" s="326"/>
      <c r="AH188" s="424"/>
      <c r="AI188" s="425"/>
      <c r="AJ188" s="334"/>
      <c r="AK188" s="423"/>
      <c r="AM188" s="424"/>
      <c r="AN188" s="425"/>
      <c r="AO188" s="326"/>
      <c r="AP188" s="424"/>
      <c r="AQ188" s="425"/>
      <c r="AR188" s="326"/>
      <c r="AS188" s="424"/>
      <c r="AT188" s="425"/>
      <c r="AU188" s="326"/>
      <c r="AV188" s="424"/>
      <c r="AW188" s="425"/>
      <c r="AX188" s="334"/>
      <c r="AY188" s="423"/>
      <c r="BA188" s="424"/>
      <c r="BB188" s="425"/>
      <c r="BC188" s="326"/>
      <c r="BD188" s="424"/>
      <c r="BE188" s="425"/>
      <c r="BF188" s="326"/>
      <c r="BG188" s="424"/>
      <c r="BH188" s="425"/>
      <c r="BI188" s="326"/>
      <c r="BJ188" s="424"/>
      <c r="BK188" s="425"/>
      <c r="BL188" s="334"/>
      <c r="BM188" s="423"/>
      <c r="BO188" s="424"/>
      <c r="BP188" s="425"/>
      <c r="BQ188" s="326"/>
      <c r="BR188" s="424"/>
      <c r="BS188" s="425"/>
      <c r="BT188" s="326"/>
      <c r="BU188" s="424"/>
      <c r="BV188" s="425"/>
      <c r="BW188" s="326"/>
      <c r="BX188" s="424"/>
      <c r="BY188" s="425"/>
      <c r="BZ188" s="334"/>
      <c r="CA188" s="423"/>
    </row>
    <row r="189" spans="2:79" ht="43.5" thickBot="1" x14ac:dyDescent="0.25">
      <c r="B189" s="848"/>
      <c r="C189" s="812"/>
      <c r="D189" s="339" t="str">
        <f>+'Plan de Accion 2018'!F116</f>
        <v>Evaluar la gestión y resultados de los procesos de calidad de la Dependencia</v>
      </c>
      <c r="E189" s="818"/>
      <c r="F189" s="340" t="str">
        <f>+'Plan de Accion 2018'!R116</f>
        <v># Indicadores Medidos / # Indicadores Sujetos de Medición</v>
      </c>
      <c r="H189" s="336">
        <f>+'Plan de Accion 2018'!AA116</f>
        <v>0</v>
      </c>
      <c r="I189" s="337" t="str">
        <f>+'Plan de Accion 2018'!BL116</f>
        <v>No Prog ni Ejec</v>
      </c>
      <c r="J189" s="330">
        <f>+'Plan de Accion 2018'!AE116</f>
        <v>0</v>
      </c>
      <c r="K189" s="344"/>
      <c r="L189" s="336">
        <f>+'Plan de Accion 2018'!AK116</f>
        <v>0</v>
      </c>
      <c r="M189" s="337" t="str">
        <f>+'Plan de Accion 2018'!BN116</f>
        <v>No Prog ni Ejec</v>
      </c>
      <c r="N189" s="338">
        <f>+'Plan de Accion 2018'!AO116</f>
        <v>0</v>
      </c>
      <c r="O189" s="344"/>
      <c r="P189" s="336">
        <f>+'Plan de Accion 2018'!AU116</f>
        <v>0</v>
      </c>
      <c r="Q189" s="337">
        <f>+'Plan de Accion 2018'!BP116</f>
        <v>0</v>
      </c>
      <c r="R189" s="338">
        <f>+'Plan de Accion 2018'!AY116</f>
        <v>0</v>
      </c>
      <c r="S189" s="344"/>
      <c r="T189" s="336">
        <f>+'Plan de Accion 2018'!BE116</f>
        <v>0</v>
      </c>
      <c r="U189" s="337">
        <f>+'Plan de Accion 2018'!BR116</f>
        <v>0</v>
      </c>
      <c r="V189" s="338">
        <f>+'Plan de Accion 2018'!BI116</f>
        <v>0</v>
      </c>
      <c r="W189" s="423"/>
      <c r="Y189" s="424"/>
      <c r="Z189" s="425"/>
      <c r="AA189" s="326"/>
      <c r="AB189" s="424"/>
      <c r="AC189" s="425"/>
      <c r="AD189" s="326"/>
      <c r="AE189" s="424"/>
      <c r="AF189" s="425"/>
      <c r="AG189" s="326"/>
      <c r="AH189" s="424"/>
      <c r="AI189" s="425"/>
      <c r="AJ189" s="334"/>
      <c r="AK189" s="423"/>
      <c r="AM189" s="424"/>
      <c r="AN189" s="425"/>
      <c r="AO189" s="326"/>
      <c r="AP189" s="424"/>
      <c r="AQ189" s="425"/>
      <c r="AR189" s="326"/>
      <c r="AS189" s="424"/>
      <c r="AT189" s="425"/>
      <c r="AU189" s="326"/>
      <c r="AV189" s="424"/>
      <c r="AW189" s="425"/>
      <c r="AX189" s="334"/>
      <c r="AY189" s="423"/>
      <c r="BA189" s="424"/>
      <c r="BB189" s="425"/>
      <c r="BC189" s="326"/>
      <c r="BD189" s="424"/>
      <c r="BE189" s="425"/>
      <c r="BF189" s="326"/>
      <c r="BG189" s="424"/>
      <c r="BH189" s="425"/>
      <c r="BI189" s="326"/>
      <c r="BJ189" s="424"/>
      <c r="BK189" s="425"/>
      <c r="BL189" s="334"/>
      <c r="BM189" s="423"/>
      <c r="BO189" s="424"/>
      <c r="BP189" s="425"/>
      <c r="BQ189" s="326"/>
      <c r="BR189" s="424"/>
      <c r="BS189" s="425"/>
      <c r="BT189" s="326"/>
      <c r="BU189" s="424"/>
      <c r="BV189" s="425"/>
      <c r="BW189" s="326"/>
      <c r="BX189" s="424"/>
      <c r="BY189" s="425"/>
      <c r="BZ189" s="334"/>
      <c r="CA189" s="423"/>
    </row>
    <row r="190" spans="2:79" ht="100.5" thickBot="1" x14ac:dyDescent="0.25">
      <c r="B190" s="848"/>
      <c r="C190" s="812"/>
      <c r="D190" s="341" t="str">
        <f>+'Plan de Accion 2018'!F117</f>
        <v>Programa de auditorías internas, al Control Interno y otros informes  de la OCI</v>
      </c>
      <c r="E190" s="818"/>
      <c r="F190" s="340" t="str">
        <f>+'Plan de Accion 2018'!R117</f>
        <v>(Número de auditorías internas al Control Interno y otros informes realizadas / Número de auditorías internas, al Control Interno y otros informes programadas)*100</v>
      </c>
      <c r="H190" s="336">
        <f>+'Plan de Accion 2018'!AA117</f>
        <v>0</v>
      </c>
      <c r="I190" s="337" t="str">
        <f>+'Plan de Accion 2018'!BL117</f>
        <v>No Prog ni Ejec</v>
      </c>
      <c r="J190" s="330">
        <f>+'Plan de Accion 2018'!AE117</f>
        <v>0</v>
      </c>
      <c r="K190" s="344"/>
      <c r="L190" s="336">
        <f>+'Plan de Accion 2018'!AK117</f>
        <v>0</v>
      </c>
      <c r="M190" s="337">
        <f>+'Plan de Accion 2018'!BN117</f>
        <v>0</v>
      </c>
      <c r="N190" s="338">
        <f>+'Plan de Accion 2018'!AO117</f>
        <v>0</v>
      </c>
      <c r="O190" s="344"/>
      <c r="P190" s="336">
        <f>+'Plan de Accion 2018'!AU117</f>
        <v>0</v>
      </c>
      <c r="Q190" s="337">
        <f>+'Plan de Accion 2018'!BP117</f>
        <v>0</v>
      </c>
      <c r="R190" s="338">
        <f>+'Plan de Accion 2018'!AY117</f>
        <v>0</v>
      </c>
      <c r="S190" s="344"/>
      <c r="T190" s="336">
        <f>+'Plan de Accion 2018'!BE117</f>
        <v>0</v>
      </c>
      <c r="U190" s="337">
        <f>+'Plan de Accion 2018'!BR117</f>
        <v>0</v>
      </c>
      <c r="V190" s="338">
        <f>+'Plan de Accion 2018'!BI117</f>
        <v>0</v>
      </c>
      <c r="W190" s="423"/>
      <c r="Y190" s="424"/>
      <c r="Z190" s="425"/>
      <c r="AA190" s="326"/>
      <c r="AB190" s="424"/>
      <c r="AC190" s="425"/>
      <c r="AD190" s="326"/>
      <c r="AE190" s="424"/>
      <c r="AF190" s="425"/>
      <c r="AG190" s="326"/>
      <c r="AH190" s="424"/>
      <c r="AI190" s="425"/>
      <c r="AJ190" s="334"/>
      <c r="AK190" s="423"/>
      <c r="AM190" s="424"/>
      <c r="AN190" s="425"/>
      <c r="AO190" s="326"/>
      <c r="AP190" s="424"/>
      <c r="AQ190" s="425"/>
      <c r="AR190" s="326"/>
      <c r="AS190" s="424"/>
      <c r="AT190" s="425"/>
      <c r="AU190" s="326"/>
      <c r="AV190" s="424"/>
      <c r="AW190" s="425"/>
      <c r="AX190" s="334"/>
      <c r="AY190" s="423"/>
      <c r="BA190" s="424"/>
      <c r="BB190" s="425"/>
      <c r="BC190" s="326"/>
      <c r="BD190" s="424"/>
      <c r="BE190" s="425"/>
      <c r="BF190" s="326"/>
      <c r="BG190" s="424"/>
      <c r="BH190" s="425"/>
      <c r="BI190" s="326"/>
      <c r="BJ190" s="424"/>
      <c r="BK190" s="425"/>
      <c r="BL190" s="334"/>
      <c r="BM190" s="423"/>
      <c r="BO190" s="424"/>
      <c r="BP190" s="425"/>
      <c r="BQ190" s="326"/>
      <c r="BR190" s="424"/>
      <c r="BS190" s="425"/>
      <c r="BT190" s="326"/>
      <c r="BU190" s="424"/>
      <c r="BV190" s="425"/>
      <c r="BW190" s="326"/>
      <c r="BX190" s="424"/>
      <c r="BY190" s="425"/>
      <c r="BZ190" s="334"/>
      <c r="CA190" s="423"/>
    </row>
    <row r="191" spans="2:79" ht="72" thickBot="1" x14ac:dyDescent="0.25">
      <c r="B191" s="848"/>
      <c r="C191" s="812"/>
      <c r="D191" s="341" t="str">
        <f>+'Plan de Accion 2018'!F118</f>
        <v>Entrega de informes de seguimiento de carácter interno en el marco de la normatividad vigente</v>
      </c>
      <c r="E191" s="818"/>
      <c r="F191" s="340" t="str">
        <f>+'Plan de Accion 2018'!R118</f>
        <v>(Número de informes presentados  / Número de informes programados en el marco de la normatividad vigente)*100</v>
      </c>
      <c r="H191" s="336">
        <f>+'Plan de Accion 2018'!AA118</f>
        <v>0.28000000000000003</v>
      </c>
      <c r="I191" s="337">
        <f>+'Plan de Accion 2018'!BL118</f>
        <v>1</v>
      </c>
      <c r="J191" s="330">
        <f>+'Plan de Accion 2018'!AE118</f>
        <v>0.28000000000000003</v>
      </c>
      <c r="K191" s="344"/>
      <c r="L191" s="336">
        <f>+'Plan de Accion 2018'!AK118</f>
        <v>0</v>
      </c>
      <c r="M191" s="337">
        <f>+'Plan de Accion 2018'!BN118</f>
        <v>0</v>
      </c>
      <c r="N191" s="338">
        <f>+'Plan de Accion 2018'!AO118</f>
        <v>0.28000000000000003</v>
      </c>
      <c r="O191" s="344"/>
      <c r="P191" s="336">
        <f>+'Plan de Accion 2018'!AU118</f>
        <v>0</v>
      </c>
      <c r="Q191" s="337">
        <f>+'Plan de Accion 2018'!BP118</f>
        <v>0</v>
      </c>
      <c r="R191" s="338">
        <f>+'Plan de Accion 2018'!AY118</f>
        <v>0.28000000000000003</v>
      </c>
      <c r="S191" s="344"/>
      <c r="T191" s="336">
        <f>+'Plan de Accion 2018'!BE118</f>
        <v>0</v>
      </c>
      <c r="U191" s="337">
        <f>+'Plan de Accion 2018'!BR118</f>
        <v>0</v>
      </c>
      <c r="V191" s="338">
        <f>+'Plan de Accion 2018'!BI118</f>
        <v>0.28000000000000003</v>
      </c>
      <c r="W191" s="423"/>
      <c r="Y191" s="424"/>
      <c r="Z191" s="425"/>
      <c r="AA191" s="326"/>
      <c r="AB191" s="424"/>
      <c r="AC191" s="425"/>
      <c r="AD191" s="326"/>
      <c r="AE191" s="424"/>
      <c r="AF191" s="425"/>
      <c r="AG191" s="326"/>
      <c r="AH191" s="424"/>
      <c r="AI191" s="425"/>
      <c r="AJ191" s="334"/>
      <c r="AK191" s="423"/>
      <c r="AM191" s="424"/>
      <c r="AN191" s="425"/>
      <c r="AO191" s="326"/>
      <c r="AP191" s="424"/>
      <c r="AQ191" s="425"/>
      <c r="AR191" s="326"/>
      <c r="AS191" s="424"/>
      <c r="AT191" s="425"/>
      <c r="AU191" s="326"/>
      <c r="AV191" s="424"/>
      <c r="AW191" s="425"/>
      <c r="AX191" s="334"/>
      <c r="AY191" s="423"/>
      <c r="BA191" s="424"/>
      <c r="BB191" s="425"/>
      <c r="BC191" s="326"/>
      <c r="BD191" s="424"/>
      <c r="BE191" s="425"/>
      <c r="BF191" s="326"/>
      <c r="BG191" s="424"/>
      <c r="BH191" s="425"/>
      <c r="BI191" s="326"/>
      <c r="BJ191" s="424"/>
      <c r="BK191" s="425"/>
      <c r="BL191" s="334"/>
      <c r="BM191" s="423"/>
      <c r="BO191" s="424"/>
      <c r="BP191" s="425"/>
      <c r="BQ191" s="326"/>
      <c r="BR191" s="424"/>
      <c r="BS191" s="425"/>
      <c r="BT191" s="326"/>
      <c r="BU191" s="424"/>
      <c r="BV191" s="425"/>
      <c r="BW191" s="326"/>
      <c r="BX191" s="424"/>
      <c r="BY191" s="425"/>
      <c r="BZ191" s="334"/>
      <c r="CA191" s="423"/>
    </row>
    <row r="192" spans="2:79" ht="57.75" thickBot="1" x14ac:dyDescent="0.25">
      <c r="B192" s="848"/>
      <c r="C192" s="812"/>
      <c r="D192" s="341" t="str">
        <f>+'Plan de Accion 2018'!F120</f>
        <v>Seguimiento al Plan de Mejoramiento suscrito con la CGR-</v>
      </c>
      <c r="E192" s="818"/>
      <c r="F192" s="340" t="str">
        <f>+'Plan de Accion 2018'!R120</f>
        <v xml:space="preserve">(Número de actividades cumplidas / Número de actividades suscritas con la CGR)*100 </v>
      </c>
      <c r="H192" s="336">
        <f>+'Plan de Accion 2018'!AA120</f>
        <v>0.5</v>
      </c>
      <c r="I192" s="337">
        <f>+'Plan de Accion 2018'!BL120</f>
        <v>1</v>
      </c>
      <c r="J192" s="330">
        <f>+'Plan de Accion 2018'!AE120</f>
        <v>0.5</v>
      </c>
      <c r="K192" s="344"/>
      <c r="L192" s="336">
        <f>+'Plan de Accion 2018'!AK120</f>
        <v>0</v>
      </c>
      <c r="M192" s="337" t="str">
        <f>+'Plan de Accion 2018'!BN120</f>
        <v>No Prog ni Ejec</v>
      </c>
      <c r="N192" s="338">
        <f>+'Plan de Accion 2018'!AO120</f>
        <v>0.5</v>
      </c>
      <c r="O192" s="344"/>
      <c r="P192" s="336">
        <f>+'Plan de Accion 2018'!AU120</f>
        <v>0</v>
      </c>
      <c r="Q192" s="337">
        <f>+'Plan de Accion 2018'!BP120</f>
        <v>0</v>
      </c>
      <c r="R192" s="338">
        <f>+'Plan de Accion 2018'!AY120</f>
        <v>0.5</v>
      </c>
      <c r="S192" s="344"/>
      <c r="T192" s="336">
        <f>+'Plan de Accion 2018'!BE120</f>
        <v>0</v>
      </c>
      <c r="U192" s="337" t="str">
        <f>+'Plan de Accion 2018'!BR120</f>
        <v>No Prog ni Ejec</v>
      </c>
      <c r="V192" s="338">
        <f>+'Plan de Accion 2018'!BI120</f>
        <v>0.5</v>
      </c>
      <c r="W192" s="423"/>
      <c r="Y192" s="424"/>
      <c r="Z192" s="425"/>
      <c r="AA192" s="326"/>
      <c r="AB192" s="424"/>
      <c r="AC192" s="425"/>
      <c r="AD192" s="326"/>
      <c r="AE192" s="424"/>
      <c r="AF192" s="425"/>
      <c r="AG192" s="326"/>
      <c r="AH192" s="424"/>
      <c r="AI192" s="425"/>
      <c r="AJ192" s="334"/>
      <c r="AK192" s="423"/>
      <c r="AM192" s="424"/>
      <c r="AN192" s="425"/>
      <c r="AO192" s="326"/>
      <c r="AP192" s="424"/>
      <c r="AQ192" s="425"/>
      <c r="AR192" s="326"/>
      <c r="AS192" s="424"/>
      <c r="AT192" s="425"/>
      <c r="AU192" s="326"/>
      <c r="AV192" s="424"/>
      <c r="AW192" s="425"/>
      <c r="AX192" s="334"/>
      <c r="AY192" s="423"/>
      <c r="BA192" s="424"/>
      <c r="BB192" s="425"/>
      <c r="BC192" s="326"/>
      <c r="BD192" s="424"/>
      <c r="BE192" s="425"/>
      <c r="BF192" s="326"/>
      <c r="BG192" s="424"/>
      <c r="BH192" s="425"/>
      <c r="BI192" s="326"/>
      <c r="BJ192" s="424"/>
      <c r="BK192" s="425"/>
      <c r="BL192" s="334"/>
      <c r="BM192" s="423"/>
      <c r="BO192" s="424"/>
      <c r="BP192" s="425"/>
      <c r="BQ192" s="326"/>
      <c r="BR192" s="424"/>
      <c r="BS192" s="425"/>
      <c r="BT192" s="326"/>
      <c r="BU192" s="424"/>
      <c r="BV192" s="425"/>
      <c r="BW192" s="326"/>
      <c r="BX192" s="424"/>
      <c r="BY192" s="425"/>
      <c r="BZ192" s="334"/>
      <c r="CA192" s="423"/>
    </row>
    <row r="193" spans="2:79" ht="43.5" thickBot="1" x14ac:dyDescent="0.25">
      <c r="B193" s="848"/>
      <c r="C193" s="812"/>
      <c r="D193" s="341" t="str">
        <f>+'Plan de Accion 2018'!F123</f>
        <v>Procesos y Procedimientos formulados</v>
      </c>
      <c r="E193" s="818" t="str">
        <f>+'Plan de Accion 2018'!B123</f>
        <v>Oficina Asesora Jurídica</v>
      </c>
      <c r="F193" s="340" t="str">
        <f>+'Plan de Accion 2018'!R123</f>
        <v># procedimientos Aprobados / # Procedimientos identificados</v>
      </c>
      <c r="H193" s="336">
        <f>+'Plan de Accion 2018'!AA123</f>
        <v>5.5555555555555552E-2</v>
      </c>
      <c r="I193" s="337">
        <f>+'Plan de Accion 2018'!BL123</f>
        <v>0.22222222222222221</v>
      </c>
      <c r="J193" s="330">
        <f>+'Plan de Accion 2018'!AE123</f>
        <v>5.5555555555555552E-2</v>
      </c>
      <c r="K193" s="344"/>
      <c r="L193" s="336">
        <f>+'Plan de Accion 2018'!AK123</f>
        <v>0</v>
      </c>
      <c r="M193" s="337">
        <f>+'Plan de Accion 2018'!BN123</f>
        <v>0</v>
      </c>
      <c r="N193" s="338">
        <f>+'Plan de Accion 2018'!AO123</f>
        <v>5.5555555555555552E-2</v>
      </c>
      <c r="O193" s="344"/>
      <c r="P193" s="336">
        <f>+'Plan de Accion 2018'!AU123</f>
        <v>0</v>
      </c>
      <c r="Q193" s="337">
        <f>+'Plan de Accion 2018'!BP123</f>
        <v>0</v>
      </c>
      <c r="R193" s="338">
        <f>+'Plan de Accion 2018'!AY123</f>
        <v>5.5555555555555552E-2</v>
      </c>
      <c r="S193" s="344"/>
      <c r="T193" s="336">
        <f>+'Plan de Accion 2018'!BE123</f>
        <v>0</v>
      </c>
      <c r="U193" s="337">
        <f>+'Plan de Accion 2018'!BR123</f>
        <v>0</v>
      </c>
      <c r="V193" s="338">
        <f>+'Plan de Accion 2018'!BI123</f>
        <v>5.5555555555555552E-2</v>
      </c>
      <c r="W193" s="423"/>
      <c r="Y193" s="424"/>
      <c r="Z193" s="425"/>
      <c r="AA193" s="326"/>
      <c r="AB193" s="424"/>
      <c r="AC193" s="425"/>
      <c r="AD193" s="326"/>
      <c r="AE193" s="424"/>
      <c r="AF193" s="425"/>
      <c r="AG193" s="326"/>
      <c r="AH193" s="424"/>
      <c r="AI193" s="425"/>
      <c r="AJ193" s="334"/>
      <c r="AK193" s="423"/>
      <c r="AM193" s="424"/>
      <c r="AN193" s="425"/>
      <c r="AO193" s="326"/>
      <c r="AP193" s="424"/>
      <c r="AQ193" s="425"/>
      <c r="AR193" s="326"/>
      <c r="AS193" s="424"/>
      <c r="AT193" s="425"/>
      <c r="AU193" s="326"/>
      <c r="AV193" s="424"/>
      <c r="AW193" s="425"/>
      <c r="AX193" s="334"/>
      <c r="AY193" s="423"/>
      <c r="BA193" s="424"/>
      <c r="BB193" s="425"/>
      <c r="BC193" s="326"/>
      <c r="BD193" s="424"/>
      <c r="BE193" s="425"/>
      <c r="BF193" s="326"/>
      <c r="BG193" s="424"/>
      <c r="BH193" s="425"/>
      <c r="BI193" s="326"/>
      <c r="BJ193" s="424"/>
      <c r="BK193" s="425"/>
      <c r="BL193" s="334"/>
      <c r="BM193" s="423"/>
      <c r="BO193" s="424"/>
      <c r="BP193" s="425"/>
      <c r="BQ193" s="326"/>
      <c r="BR193" s="424"/>
      <c r="BS193" s="425"/>
      <c r="BT193" s="326"/>
      <c r="BU193" s="424"/>
      <c r="BV193" s="425"/>
      <c r="BW193" s="326"/>
      <c r="BX193" s="424"/>
      <c r="BY193" s="425"/>
      <c r="BZ193" s="334"/>
      <c r="CA193" s="423"/>
    </row>
    <row r="194" spans="2:79" ht="43.5" thickBot="1" x14ac:dyDescent="0.25">
      <c r="B194" s="848"/>
      <c r="C194" s="813"/>
      <c r="D194" s="345" t="str">
        <f>+'Plan de Accion 2018'!F124</f>
        <v>Indicadores  y  acciones de mejora formulados</v>
      </c>
      <c r="E194" s="839"/>
      <c r="F194" s="347" t="str">
        <f>+'Plan de Accion 2018'!R124</f>
        <v># Indicadores Medidos / # Indicadores Sujetos de Medición</v>
      </c>
      <c r="H194" s="348">
        <f>+'Plan de Accion 2018'!AA124</f>
        <v>0</v>
      </c>
      <c r="I194" s="349">
        <f>+'Plan de Accion 2018'!BL124</f>
        <v>0</v>
      </c>
      <c r="J194" s="440">
        <f>+'Plan de Accion 2018'!AE124</f>
        <v>0</v>
      </c>
      <c r="K194" s="344"/>
      <c r="L194" s="348">
        <f>+'Plan de Accion 2018'!AK124</f>
        <v>0</v>
      </c>
      <c r="M194" s="349">
        <f>+'Plan de Accion 2018'!BN124</f>
        <v>0</v>
      </c>
      <c r="N194" s="350">
        <f>+'Plan de Accion 2018'!AO124</f>
        <v>0</v>
      </c>
      <c r="O194" s="344"/>
      <c r="P194" s="348">
        <f>+'Plan de Accion 2018'!AU124</f>
        <v>0</v>
      </c>
      <c r="Q194" s="349">
        <f>+'Plan de Accion 2018'!BP124</f>
        <v>0</v>
      </c>
      <c r="R194" s="350">
        <f>+'Plan de Accion 2018'!AY124</f>
        <v>0</v>
      </c>
      <c r="S194" s="344"/>
      <c r="T194" s="348">
        <f>+'Plan de Accion 2018'!BE124</f>
        <v>0</v>
      </c>
      <c r="U194" s="349">
        <f>+'Plan de Accion 2018'!BR124</f>
        <v>0</v>
      </c>
      <c r="V194" s="350">
        <f>+'Plan de Accion 2018'!BI124</f>
        <v>0</v>
      </c>
      <c r="W194" s="423"/>
      <c r="Y194" s="424"/>
      <c r="Z194" s="425"/>
      <c r="AA194" s="326"/>
      <c r="AB194" s="424"/>
      <c r="AC194" s="425"/>
      <c r="AD194" s="326"/>
      <c r="AE194" s="424"/>
      <c r="AF194" s="425"/>
      <c r="AG194" s="326"/>
      <c r="AH194" s="424"/>
      <c r="AI194" s="425"/>
      <c r="AJ194" s="334"/>
      <c r="AK194" s="423"/>
      <c r="AM194" s="424"/>
      <c r="AN194" s="425"/>
      <c r="AO194" s="326"/>
      <c r="AP194" s="424"/>
      <c r="AQ194" s="425"/>
      <c r="AR194" s="326"/>
      <c r="AS194" s="424"/>
      <c r="AT194" s="425"/>
      <c r="AU194" s="326"/>
      <c r="AV194" s="424"/>
      <c r="AW194" s="425"/>
      <c r="AX194" s="334"/>
      <c r="AY194" s="423"/>
      <c r="BA194" s="424"/>
      <c r="BB194" s="425"/>
      <c r="BC194" s="326"/>
      <c r="BD194" s="424"/>
      <c r="BE194" s="425"/>
      <c r="BF194" s="326"/>
      <c r="BG194" s="424"/>
      <c r="BH194" s="425"/>
      <c r="BI194" s="326"/>
      <c r="BJ194" s="424"/>
      <c r="BK194" s="425"/>
      <c r="BL194" s="334"/>
      <c r="BM194" s="423"/>
      <c r="BO194" s="424"/>
      <c r="BP194" s="425"/>
      <c r="BQ194" s="326"/>
      <c r="BR194" s="424"/>
      <c r="BS194" s="425"/>
      <c r="BT194" s="326"/>
      <c r="BU194" s="424"/>
      <c r="BV194" s="425"/>
      <c r="BW194" s="326"/>
      <c r="BX194" s="424"/>
      <c r="BY194" s="425"/>
      <c r="BZ194" s="334"/>
      <c r="CA194" s="423"/>
    </row>
    <row r="195" spans="2:79" ht="15.75" thickBot="1" x14ac:dyDescent="0.25">
      <c r="B195" s="853"/>
      <c r="C195" s="814" t="s">
        <v>811</v>
      </c>
      <c r="D195" s="815"/>
      <c r="E195" s="815"/>
      <c r="F195" s="816"/>
      <c r="H195" s="367" t="s">
        <v>792</v>
      </c>
      <c r="I195" s="353">
        <f>SUM(I173:I194)/COUNT(I173:I194)</f>
        <v>1.1293078678264208</v>
      </c>
      <c r="J195" s="355">
        <f>SUM(J173:J194)/COUNT(J173:J194)</f>
        <v>0.18784443351783964</v>
      </c>
      <c r="K195" s="378"/>
      <c r="L195" s="367" t="s">
        <v>792</v>
      </c>
      <c r="M195" s="353">
        <f>SUM(M173:M194)/COUNT(M173:M194)</f>
        <v>0</v>
      </c>
      <c r="N195" s="355">
        <f>SUM(N173:N194)/COUNT(N173:N194)</f>
        <v>0.18784443351783964</v>
      </c>
      <c r="O195" s="378"/>
      <c r="P195" s="367" t="s">
        <v>792</v>
      </c>
      <c r="Q195" s="353">
        <f>SUM(Q173:Q194)/COUNT(Q173:Q194)</f>
        <v>0</v>
      </c>
      <c r="R195" s="355">
        <f>SUM(R173:R194)/COUNT(R173:R194)</f>
        <v>0.18784443351783964</v>
      </c>
      <c r="S195" s="378"/>
      <c r="T195" s="367" t="s">
        <v>792</v>
      </c>
      <c r="U195" s="353">
        <f>SUM(U173:U194)/COUNT(U173:U194)</f>
        <v>0</v>
      </c>
      <c r="V195" s="355">
        <f>SUM(V173:V194)/COUNT(V173:V194)</f>
        <v>0.18784443351783964</v>
      </c>
      <c r="W195" s="423"/>
      <c r="Y195" s="424"/>
      <c r="Z195" s="425"/>
      <c r="AA195" s="326"/>
      <c r="AB195" s="424"/>
      <c r="AC195" s="425"/>
      <c r="AD195" s="326"/>
      <c r="AE195" s="424"/>
      <c r="AF195" s="425"/>
      <c r="AG195" s="326"/>
      <c r="AH195" s="424"/>
      <c r="AI195" s="425"/>
      <c r="AJ195" s="334"/>
      <c r="AK195" s="423"/>
      <c r="AM195" s="424"/>
      <c r="AN195" s="425"/>
      <c r="AO195" s="326"/>
      <c r="AP195" s="424"/>
      <c r="AQ195" s="425"/>
      <c r="AR195" s="326"/>
      <c r="AS195" s="424"/>
      <c r="AT195" s="425"/>
      <c r="AU195" s="326"/>
      <c r="AV195" s="424"/>
      <c r="AW195" s="425"/>
      <c r="AX195" s="334"/>
      <c r="AY195" s="423"/>
      <c r="BA195" s="424"/>
      <c r="BB195" s="425"/>
      <c r="BC195" s="326"/>
      <c r="BD195" s="424"/>
      <c r="BE195" s="425"/>
      <c r="BF195" s="326"/>
      <c r="BG195" s="424"/>
      <c r="BH195" s="425"/>
      <c r="BI195" s="326"/>
      <c r="BJ195" s="424"/>
      <c r="BK195" s="425"/>
      <c r="BL195" s="334"/>
      <c r="BM195" s="423"/>
      <c r="BO195" s="424"/>
      <c r="BP195" s="425"/>
      <c r="BQ195" s="326"/>
      <c r="BR195" s="424"/>
      <c r="BS195" s="425"/>
      <c r="BT195" s="326"/>
      <c r="BU195" s="424"/>
      <c r="BV195" s="425"/>
      <c r="BW195" s="326"/>
      <c r="BX195" s="424"/>
      <c r="BY195" s="425"/>
      <c r="BZ195" s="334"/>
      <c r="CA195" s="423"/>
    </row>
    <row r="196" spans="2:79" ht="29.25" thickBot="1" x14ac:dyDescent="0.25">
      <c r="B196" s="848"/>
      <c r="C196" s="845" t="s">
        <v>144</v>
      </c>
      <c r="D196" s="420" t="str">
        <f>+'Plan de Accion 2018'!F63</f>
        <v xml:space="preserve">Estudios del Sector </v>
      </c>
      <c r="E196" s="420" t="str">
        <f>+'Plan de Accion 2018'!B63</f>
        <v>Dirección de Liquidaciones y Garantías</v>
      </c>
      <c r="F196" s="416" t="str">
        <f>+'Plan de Accion 2018'!R63</f>
        <v># Estudios realizados/# Estudios proyectados</v>
      </c>
      <c r="H196" s="403">
        <f>+'Plan de Accion 2018'!AA63</f>
        <v>2</v>
      </c>
      <c r="I196" s="328" t="str">
        <f>+'Plan de Accion 2018'!BL63</f>
        <v>No Prog, Ejec=  2</v>
      </c>
      <c r="J196" s="330">
        <f>+'Plan de Accion 2018'!AE63</f>
        <v>1</v>
      </c>
      <c r="K196" s="344"/>
      <c r="L196" s="327">
        <f>+'Plan de Accion 2018'!AK63</f>
        <v>0</v>
      </c>
      <c r="M196" s="328">
        <f>+'Plan de Accion 2018'!BN63</f>
        <v>0</v>
      </c>
      <c r="N196" s="330">
        <f>+'Plan de Accion 2018'!AO63</f>
        <v>1</v>
      </c>
      <c r="O196" s="344"/>
      <c r="P196" s="327">
        <f>+'Plan de Accion 2018'!AU63</f>
        <v>0</v>
      </c>
      <c r="Q196" s="328" t="str">
        <f>+'Plan de Accion 2018'!BP63</f>
        <v>No Prog ni Ejec</v>
      </c>
      <c r="R196" s="330">
        <f>+'Plan de Accion 2018'!AY63</f>
        <v>1</v>
      </c>
      <c r="S196" s="344"/>
      <c r="T196" s="327">
        <f>+'Plan de Accion 2018'!BE63</f>
        <v>0</v>
      </c>
      <c r="U196" s="328">
        <f>+'Plan de Accion 2018'!BR63</f>
        <v>0</v>
      </c>
      <c r="V196" s="330">
        <f>+'Plan de Accion 2018'!BI63</f>
        <v>1</v>
      </c>
      <c r="W196" s="423"/>
      <c r="Y196" s="424"/>
      <c r="Z196" s="425"/>
      <c r="AA196" s="326"/>
      <c r="AB196" s="424"/>
      <c r="AC196" s="425"/>
      <c r="AD196" s="326"/>
      <c r="AE196" s="424"/>
      <c r="AF196" s="425"/>
      <c r="AG196" s="326"/>
      <c r="AH196" s="424"/>
      <c r="AI196" s="425"/>
      <c r="AJ196" s="334"/>
      <c r="AK196" s="423"/>
      <c r="AM196" s="424"/>
      <c r="AN196" s="425"/>
      <c r="AO196" s="326"/>
      <c r="AP196" s="424"/>
      <c r="AQ196" s="425"/>
      <c r="AR196" s="326"/>
      <c r="AS196" s="424"/>
      <c r="AT196" s="425"/>
      <c r="AU196" s="326"/>
      <c r="AV196" s="424"/>
      <c r="AW196" s="425"/>
      <c r="AX196" s="334"/>
      <c r="AY196" s="423"/>
      <c r="BA196" s="424"/>
      <c r="BB196" s="425"/>
      <c r="BC196" s="326"/>
      <c r="BD196" s="424"/>
      <c r="BE196" s="425"/>
      <c r="BF196" s="326"/>
      <c r="BG196" s="424"/>
      <c r="BH196" s="425"/>
      <c r="BI196" s="326"/>
      <c r="BJ196" s="424"/>
      <c r="BK196" s="425"/>
      <c r="BL196" s="334"/>
      <c r="BM196" s="423"/>
      <c r="BO196" s="424"/>
      <c r="BP196" s="425"/>
      <c r="BQ196" s="326"/>
      <c r="BR196" s="424"/>
      <c r="BS196" s="425"/>
      <c r="BT196" s="326"/>
      <c r="BU196" s="424"/>
      <c r="BV196" s="425"/>
      <c r="BW196" s="326"/>
      <c r="BX196" s="424"/>
      <c r="BY196" s="425"/>
      <c r="BZ196" s="334"/>
      <c r="CA196" s="423"/>
    </row>
    <row r="197" spans="2:79" ht="57.75" thickBot="1" x14ac:dyDescent="0.25">
      <c r="B197" s="848"/>
      <c r="C197" s="845"/>
      <c r="D197" s="346" t="str">
        <f>+'Plan de Accion 2018'!F71</f>
        <v>Informe de supervisión realizados en el período</v>
      </c>
      <c r="E197" s="346" t="str">
        <f>+'Plan de Accion 2018'!B71</f>
        <v xml:space="preserve">Dirección de Otras Prestaciones  </v>
      </c>
      <c r="F197" s="347" t="str">
        <f>+'Plan de Accion 2018'!R71</f>
        <v># Informes de supervisión realizados en el período / # Informes de supervisión proyectados</v>
      </c>
      <c r="H197" s="348">
        <f>+'Plan de Accion 2018'!AA71</f>
        <v>0.25</v>
      </c>
      <c r="I197" s="349">
        <f>+'Plan de Accion 2018'!BL71</f>
        <v>1</v>
      </c>
      <c r="J197" s="440">
        <f>+'Plan de Accion 2018'!AE71</f>
        <v>0.25</v>
      </c>
      <c r="K197" s="344"/>
      <c r="L197" s="348">
        <f>+'Plan de Accion 2018'!AK71</f>
        <v>0</v>
      </c>
      <c r="M197" s="349">
        <f>+'Plan de Accion 2018'!BN71</f>
        <v>0</v>
      </c>
      <c r="N197" s="350">
        <f>+'Plan de Accion 2018'!AO71</f>
        <v>0.25</v>
      </c>
      <c r="O197" s="344"/>
      <c r="P197" s="348">
        <f>+'Plan de Accion 2018'!AU71</f>
        <v>0</v>
      </c>
      <c r="Q197" s="349">
        <f>+'Plan de Accion 2018'!BP71</f>
        <v>0</v>
      </c>
      <c r="R197" s="350">
        <f>+'Plan de Accion 2018'!AY71</f>
        <v>0.25</v>
      </c>
      <c r="S197" s="344"/>
      <c r="T197" s="348">
        <f>+'Plan de Accion 2018'!BE71</f>
        <v>0</v>
      </c>
      <c r="U197" s="349">
        <f>+'Plan de Accion 2018'!BR71</f>
        <v>0</v>
      </c>
      <c r="V197" s="350">
        <f>+'Plan de Accion 2018'!BI71</f>
        <v>0.25</v>
      </c>
      <c r="W197" s="423"/>
      <c r="Y197" s="424"/>
      <c r="Z197" s="425"/>
      <c r="AA197" s="326"/>
      <c r="AB197" s="424"/>
      <c r="AC197" s="425"/>
      <c r="AD197" s="326"/>
      <c r="AE197" s="424"/>
      <c r="AF197" s="425"/>
      <c r="AG197" s="326"/>
      <c r="AH197" s="424"/>
      <c r="AI197" s="425"/>
      <c r="AJ197" s="334"/>
      <c r="AK197" s="423"/>
      <c r="AM197" s="424"/>
      <c r="AN197" s="425"/>
      <c r="AO197" s="326"/>
      <c r="AP197" s="424"/>
      <c r="AQ197" s="425"/>
      <c r="AR197" s="326"/>
      <c r="AS197" s="424"/>
      <c r="AT197" s="425"/>
      <c r="AU197" s="326"/>
      <c r="AV197" s="424"/>
      <c r="AW197" s="425"/>
      <c r="AX197" s="334"/>
      <c r="AY197" s="423"/>
      <c r="BA197" s="424"/>
      <c r="BB197" s="425"/>
      <c r="BC197" s="326"/>
      <c r="BD197" s="424"/>
      <c r="BE197" s="425"/>
      <c r="BF197" s="326"/>
      <c r="BG197" s="424"/>
      <c r="BH197" s="425"/>
      <c r="BI197" s="326"/>
      <c r="BJ197" s="424"/>
      <c r="BK197" s="425"/>
      <c r="BL197" s="334"/>
      <c r="BM197" s="423"/>
      <c r="BO197" s="424"/>
      <c r="BP197" s="425"/>
      <c r="BQ197" s="326"/>
      <c r="BR197" s="424"/>
      <c r="BS197" s="425"/>
      <c r="BT197" s="326"/>
      <c r="BU197" s="424"/>
      <c r="BV197" s="425"/>
      <c r="BW197" s="326"/>
      <c r="BX197" s="424"/>
      <c r="BY197" s="425"/>
      <c r="BZ197" s="334"/>
      <c r="CA197" s="423"/>
    </row>
    <row r="198" spans="2:79" ht="15.75" thickBot="1" x14ac:dyDescent="0.25">
      <c r="B198" s="853"/>
      <c r="C198" s="814" t="s">
        <v>811</v>
      </c>
      <c r="D198" s="815"/>
      <c r="E198" s="815"/>
      <c r="F198" s="816"/>
      <c r="H198" s="367" t="s">
        <v>792</v>
      </c>
      <c r="I198" s="353">
        <f>SUM(I196:I197)/COUNT(I196:I197)</f>
        <v>1</v>
      </c>
      <c r="J198" s="355">
        <f>SUM(J196:J197)/COUNT(J196:J197)</f>
        <v>0.625</v>
      </c>
      <c r="K198" s="378"/>
      <c r="L198" s="367" t="s">
        <v>792</v>
      </c>
      <c r="M198" s="353">
        <f>SUM(M196:M197)/COUNT(M196:M197)</f>
        <v>0</v>
      </c>
      <c r="N198" s="355">
        <f>SUM(N196:N197)/COUNT(N196:N197)</f>
        <v>0.625</v>
      </c>
      <c r="O198" s="378"/>
      <c r="P198" s="367" t="s">
        <v>792</v>
      </c>
      <c r="Q198" s="353">
        <f>SUM(Q196:Q197)/COUNT(Q196:Q197)</f>
        <v>0</v>
      </c>
      <c r="R198" s="355">
        <f>SUM(R196:R197)/COUNT(R196:R197)</f>
        <v>0.625</v>
      </c>
      <c r="S198" s="378"/>
      <c r="T198" s="367" t="s">
        <v>792</v>
      </c>
      <c r="U198" s="353">
        <f>SUM(U196:U197)/COUNT(U196:U197)</f>
        <v>0</v>
      </c>
      <c r="V198" s="355">
        <f>SUM(V196:V197)/COUNT(V196:V197)</f>
        <v>0.625</v>
      </c>
      <c r="W198" s="423"/>
      <c r="Y198" s="424"/>
      <c r="Z198" s="425"/>
      <c r="AA198" s="326"/>
      <c r="AB198" s="424"/>
      <c r="AC198" s="425"/>
      <c r="AD198" s="326"/>
      <c r="AE198" s="424"/>
      <c r="AF198" s="425"/>
      <c r="AG198" s="326"/>
      <c r="AH198" s="424"/>
      <c r="AI198" s="425"/>
      <c r="AJ198" s="334"/>
      <c r="AK198" s="423"/>
      <c r="AM198" s="424"/>
      <c r="AN198" s="425"/>
      <c r="AO198" s="326"/>
      <c r="AP198" s="424"/>
      <c r="AQ198" s="425"/>
      <c r="AR198" s="326"/>
      <c r="AS198" s="424"/>
      <c r="AT198" s="425"/>
      <c r="AU198" s="326"/>
      <c r="AV198" s="424"/>
      <c r="AW198" s="425"/>
      <c r="AX198" s="334"/>
      <c r="AY198" s="423"/>
      <c r="BA198" s="424"/>
      <c r="BB198" s="425"/>
      <c r="BC198" s="326"/>
      <c r="BD198" s="424"/>
      <c r="BE198" s="425"/>
      <c r="BF198" s="326"/>
      <c r="BG198" s="424"/>
      <c r="BH198" s="425"/>
      <c r="BI198" s="326"/>
      <c r="BJ198" s="424"/>
      <c r="BK198" s="425"/>
      <c r="BL198" s="334"/>
      <c r="BM198" s="423"/>
      <c r="BO198" s="424"/>
      <c r="BP198" s="425"/>
      <c r="BQ198" s="326"/>
      <c r="BR198" s="424"/>
      <c r="BS198" s="425"/>
      <c r="BT198" s="326"/>
      <c r="BU198" s="424"/>
      <c r="BV198" s="425"/>
      <c r="BW198" s="326"/>
      <c r="BX198" s="424"/>
      <c r="BY198" s="425"/>
      <c r="BZ198" s="334"/>
      <c r="CA198" s="423"/>
    </row>
    <row r="199" spans="2:79" ht="57.75" thickBot="1" x14ac:dyDescent="0.25">
      <c r="B199" s="848"/>
      <c r="C199" s="840" t="s">
        <v>147</v>
      </c>
      <c r="D199" s="426" t="str">
        <f>+'Plan de Accion 2018'!F79</f>
        <v>Impartir los lineamientos en materia tecnológica para definir políticas, estrategias y prácticas que soporten la gestión del Sector</v>
      </c>
      <c r="E199" s="844" t="str">
        <f>+'Plan de Accion 2018'!B79</f>
        <v>Dirección de Gestión de Tecnología de la Información y la Comunicación</v>
      </c>
      <c r="F199" s="370" t="str">
        <f>+'Plan de Accion 2018'!R79</f>
        <v>Documento del PETI aprobado y entregado</v>
      </c>
      <c r="H199" s="327">
        <f>+'Plan de Accion 2018'!AA79</f>
        <v>0</v>
      </c>
      <c r="I199" s="328" t="str">
        <f>+'Plan de Accion 2018'!BL79</f>
        <v>No Prog ni Ejec</v>
      </c>
      <c r="J199" s="330">
        <f>+'Plan de Accion 2018'!AE79</f>
        <v>0</v>
      </c>
      <c r="K199" s="344"/>
      <c r="L199" s="327">
        <f>+'Plan de Accion 2018'!AK79</f>
        <v>0</v>
      </c>
      <c r="M199" s="328">
        <f>+'Plan de Accion 2018'!BN79</f>
        <v>0</v>
      </c>
      <c r="N199" s="330">
        <f>+'Plan de Accion 2018'!AO79</f>
        <v>0</v>
      </c>
      <c r="O199" s="344"/>
      <c r="P199" s="327">
        <f>+'Plan de Accion 2018'!AU79</f>
        <v>0</v>
      </c>
      <c r="Q199" s="328" t="str">
        <f>+'Plan de Accion 2018'!BP79</f>
        <v>No Prog ni Ejec</v>
      </c>
      <c r="R199" s="330">
        <f>+'Plan de Accion 2018'!AY79</f>
        <v>0</v>
      </c>
      <c r="S199" s="344"/>
      <c r="T199" s="327">
        <f>+'Plan de Accion 2018'!BE79</f>
        <v>0</v>
      </c>
      <c r="U199" s="328" t="str">
        <f>+'Plan de Accion 2018'!BR79</f>
        <v>No Prog ni Ejec</v>
      </c>
      <c r="V199" s="330">
        <f>+'Plan de Accion 2018'!BI79</f>
        <v>0</v>
      </c>
      <c r="W199" s="423"/>
      <c r="Y199" s="424"/>
      <c r="Z199" s="425"/>
      <c r="AA199" s="326"/>
      <c r="AB199" s="424"/>
      <c r="AC199" s="425"/>
      <c r="AD199" s="326"/>
      <c r="AE199" s="424"/>
      <c r="AF199" s="425"/>
      <c r="AG199" s="326"/>
      <c r="AH199" s="424"/>
      <c r="AI199" s="425"/>
      <c r="AJ199" s="334"/>
      <c r="AK199" s="423"/>
      <c r="AM199" s="424"/>
      <c r="AN199" s="425"/>
      <c r="AO199" s="326"/>
      <c r="AP199" s="424"/>
      <c r="AQ199" s="425"/>
      <c r="AR199" s="326"/>
      <c r="AS199" s="424"/>
      <c r="AT199" s="425"/>
      <c r="AU199" s="326"/>
      <c r="AV199" s="424"/>
      <c r="AW199" s="425"/>
      <c r="AX199" s="334"/>
      <c r="AY199" s="423"/>
      <c r="BA199" s="424"/>
      <c r="BB199" s="425"/>
      <c r="BC199" s="326"/>
      <c r="BD199" s="424"/>
      <c r="BE199" s="425"/>
      <c r="BF199" s="326"/>
      <c r="BG199" s="424"/>
      <c r="BH199" s="425"/>
      <c r="BI199" s="326"/>
      <c r="BJ199" s="424"/>
      <c r="BK199" s="425"/>
      <c r="BL199" s="334"/>
      <c r="BM199" s="423"/>
      <c r="BO199" s="424"/>
      <c r="BP199" s="425"/>
      <c r="BQ199" s="326"/>
      <c r="BR199" s="424"/>
      <c r="BS199" s="425"/>
      <c r="BT199" s="326"/>
      <c r="BU199" s="424"/>
      <c r="BV199" s="425"/>
      <c r="BW199" s="326"/>
      <c r="BX199" s="424"/>
      <c r="BY199" s="425"/>
      <c r="BZ199" s="334"/>
      <c r="CA199" s="423"/>
    </row>
    <row r="200" spans="2:79" ht="114.75" thickBot="1" x14ac:dyDescent="0.25">
      <c r="B200" s="848"/>
      <c r="C200" s="812"/>
      <c r="D200" s="427" t="str">
        <f>+'Plan de Accion 2018'!F83</f>
        <v>Implementar estrategias, instrumentos y herramientas con aplicación de tecnologías de la información y las comunicaciones para brindar de manera constante y permanente un buen servicio al ciudadano y a las entidades del Sector.</v>
      </c>
      <c r="E200" s="844"/>
      <c r="F200" s="365" t="str">
        <f>+'Plan de Accion 2018'!R83</f>
        <v># herramientas, instrumentos y/o herramientas implementados / # herramientas, instrumentos y/o herramientas requeridos</v>
      </c>
      <c r="H200" s="336">
        <f>+'Plan de Accion 2018'!AA83</f>
        <v>5.434802770706449E-2</v>
      </c>
      <c r="I200" s="337">
        <f>+'Plan de Accion 2018'!BL83</f>
        <v>0.77640039581520692</v>
      </c>
      <c r="J200" s="330">
        <f>+'Plan de Accion 2018'!AE83</f>
        <v>5.434802770706449E-2</v>
      </c>
      <c r="K200" s="344"/>
      <c r="L200" s="336">
        <f>+'Plan de Accion 2018'!AK83</f>
        <v>0</v>
      </c>
      <c r="M200" s="337">
        <f>+'Plan de Accion 2018'!BN83</f>
        <v>0</v>
      </c>
      <c r="N200" s="338">
        <f>+'Plan de Accion 2018'!AO83</f>
        <v>5.434802770706449E-2</v>
      </c>
      <c r="O200" s="344"/>
      <c r="P200" s="336">
        <f>+'Plan de Accion 2018'!AU83</f>
        <v>0</v>
      </c>
      <c r="Q200" s="337">
        <f>+'Plan de Accion 2018'!BP83</f>
        <v>0</v>
      </c>
      <c r="R200" s="338">
        <f>+'Plan de Accion 2018'!AY83</f>
        <v>5.434802770706449E-2</v>
      </c>
      <c r="S200" s="344"/>
      <c r="T200" s="336">
        <f>+'Plan de Accion 2018'!BE83</f>
        <v>0</v>
      </c>
      <c r="U200" s="337">
        <f>+'Plan de Accion 2018'!BR83</f>
        <v>0</v>
      </c>
      <c r="V200" s="338">
        <f>+'Plan de Accion 2018'!BI83</f>
        <v>5.434802770706449E-2</v>
      </c>
      <c r="W200" s="423"/>
      <c r="Y200" s="424"/>
      <c r="Z200" s="425"/>
      <c r="AA200" s="326"/>
      <c r="AB200" s="424"/>
      <c r="AC200" s="425"/>
      <c r="AD200" s="326"/>
      <c r="AE200" s="424"/>
      <c r="AF200" s="425"/>
      <c r="AG200" s="326"/>
      <c r="AH200" s="424"/>
      <c r="AI200" s="425"/>
      <c r="AJ200" s="334"/>
      <c r="AK200" s="423"/>
      <c r="AM200" s="424"/>
      <c r="AN200" s="425"/>
      <c r="AO200" s="326"/>
      <c r="AP200" s="424"/>
      <c r="AQ200" s="425"/>
      <c r="AR200" s="326"/>
      <c r="AS200" s="424"/>
      <c r="AT200" s="425"/>
      <c r="AU200" s="326"/>
      <c r="AV200" s="424"/>
      <c r="AW200" s="425"/>
      <c r="AX200" s="334"/>
      <c r="AY200" s="423"/>
      <c r="BA200" s="424"/>
      <c r="BB200" s="425"/>
      <c r="BC200" s="326"/>
      <c r="BD200" s="424"/>
      <c r="BE200" s="425"/>
      <c r="BF200" s="326"/>
      <c r="BG200" s="424"/>
      <c r="BH200" s="425"/>
      <c r="BI200" s="326"/>
      <c r="BJ200" s="424"/>
      <c r="BK200" s="425"/>
      <c r="BL200" s="334"/>
      <c r="BM200" s="423"/>
      <c r="BO200" s="424"/>
      <c r="BP200" s="425"/>
      <c r="BQ200" s="326"/>
      <c r="BR200" s="424"/>
      <c r="BS200" s="425"/>
      <c r="BT200" s="326"/>
      <c r="BU200" s="424"/>
      <c r="BV200" s="425"/>
      <c r="BW200" s="326"/>
      <c r="BX200" s="424"/>
      <c r="BY200" s="425"/>
      <c r="BZ200" s="334"/>
      <c r="CA200" s="423"/>
    </row>
    <row r="201" spans="2:79" ht="43.5" thickBot="1" x14ac:dyDescent="0.25">
      <c r="B201" s="848"/>
      <c r="C201" s="813"/>
      <c r="D201" s="428" t="str">
        <f>+'Plan de Accion 2018'!J84</f>
        <v>Desarrollo de nuevos Sistemas de información</v>
      </c>
      <c r="E201" s="844"/>
      <c r="F201" s="409" t="str">
        <f>+'Plan de Accion 2018'!R84</f>
        <v># sistemas de información desarrollados / # sistemas de información requeridos</v>
      </c>
      <c r="H201" s="348">
        <f>+'Plan de Accion 2018'!AA84</f>
        <v>0</v>
      </c>
      <c r="I201" s="349" t="str">
        <f>+'Plan de Accion 2018'!BL84</f>
        <v>No Prog ni Ejec</v>
      </c>
      <c r="J201" s="440">
        <f>+'Plan de Accion 2018'!AE84</f>
        <v>0</v>
      </c>
      <c r="K201" s="344"/>
      <c r="L201" s="348">
        <f>+'Plan de Accion 2018'!AK84</f>
        <v>0</v>
      </c>
      <c r="M201" s="349" t="str">
        <f>+'Plan de Accion 2018'!BN84</f>
        <v>No Prog ni Ejec</v>
      </c>
      <c r="N201" s="350">
        <f>+'Plan de Accion 2018'!AO84</f>
        <v>0</v>
      </c>
      <c r="O201" s="344"/>
      <c r="P201" s="348">
        <f>+'Plan de Accion 2018'!AU84</f>
        <v>0</v>
      </c>
      <c r="Q201" s="349">
        <f>+'Plan de Accion 2018'!BP84</f>
        <v>0</v>
      </c>
      <c r="R201" s="350">
        <f>+'Plan de Accion 2018'!AY84</f>
        <v>0</v>
      </c>
      <c r="S201" s="344"/>
      <c r="T201" s="348">
        <f>+'Plan de Accion 2018'!BE84</f>
        <v>0</v>
      </c>
      <c r="U201" s="349">
        <f>+'Plan de Accion 2018'!BR84</f>
        <v>0</v>
      </c>
      <c r="V201" s="350">
        <f>+'Plan de Accion 2018'!BI84</f>
        <v>0</v>
      </c>
      <c r="W201" s="423"/>
      <c r="Y201" s="424"/>
      <c r="Z201" s="425"/>
      <c r="AA201" s="326"/>
      <c r="AB201" s="424"/>
      <c r="AC201" s="425"/>
      <c r="AD201" s="326"/>
      <c r="AE201" s="424"/>
      <c r="AF201" s="425"/>
      <c r="AG201" s="326"/>
      <c r="AH201" s="424"/>
      <c r="AI201" s="425"/>
      <c r="AJ201" s="334"/>
      <c r="AK201" s="423"/>
      <c r="AM201" s="424"/>
      <c r="AN201" s="425"/>
      <c r="AO201" s="326"/>
      <c r="AP201" s="424"/>
      <c r="AQ201" s="425"/>
      <c r="AR201" s="326"/>
      <c r="AS201" s="424"/>
      <c r="AT201" s="425"/>
      <c r="AU201" s="326"/>
      <c r="AV201" s="424"/>
      <c r="AW201" s="425"/>
      <c r="AX201" s="334"/>
      <c r="AY201" s="423"/>
      <c r="BA201" s="424"/>
      <c r="BB201" s="425"/>
      <c r="BC201" s="326"/>
      <c r="BD201" s="424"/>
      <c r="BE201" s="425"/>
      <c r="BF201" s="326"/>
      <c r="BG201" s="424"/>
      <c r="BH201" s="425"/>
      <c r="BI201" s="326"/>
      <c r="BJ201" s="424"/>
      <c r="BK201" s="425"/>
      <c r="BL201" s="334"/>
      <c r="BM201" s="423"/>
      <c r="BO201" s="424"/>
      <c r="BP201" s="425"/>
      <c r="BQ201" s="326"/>
      <c r="BR201" s="424"/>
      <c r="BS201" s="425"/>
      <c r="BT201" s="326"/>
      <c r="BU201" s="424"/>
      <c r="BV201" s="425"/>
      <c r="BW201" s="326"/>
      <c r="BX201" s="424"/>
      <c r="BY201" s="425"/>
      <c r="BZ201" s="334"/>
      <c r="CA201" s="423"/>
    </row>
    <row r="202" spans="2:79" ht="15.75" thickBot="1" x14ac:dyDescent="0.25">
      <c r="B202" s="853"/>
      <c r="C202" s="841" t="s">
        <v>811</v>
      </c>
      <c r="D202" s="842"/>
      <c r="E202" s="842"/>
      <c r="F202" s="843"/>
      <c r="H202" s="367" t="s">
        <v>792</v>
      </c>
      <c r="I202" s="353">
        <f>SUM(I199:I201)/COUNT(I199:I201)</f>
        <v>0.77640039581520692</v>
      </c>
      <c r="J202" s="355">
        <f>SUM(J199:J201)/COUNT(J199:J201)</f>
        <v>1.8116009235688162E-2</v>
      </c>
      <c r="K202" s="378"/>
      <c r="L202" s="367" t="s">
        <v>792</v>
      </c>
      <c r="M202" s="353">
        <f>SUM(M199:M201)/COUNT(M199:M201)</f>
        <v>0</v>
      </c>
      <c r="N202" s="355">
        <f>SUM(N199:N201)/COUNT(N199:N201)</f>
        <v>1.8116009235688162E-2</v>
      </c>
      <c r="O202" s="378"/>
      <c r="P202" s="367" t="s">
        <v>792</v>
      </c>
      <c r="Q202" s="353">
        <f>SUM(Q199:Q201)/COUNT(Q199:Q201)</f>
        <v>0</v>
      </c>
      <c r="R202" s="355">
        <f>SUM(R199:R201)/COUNT(R199:R201)</f>
        <v>1.8116009235688162E-2</v>
      </c>
      <c r="S202" s="378"/>
      <c r="T202" s="367" t="s">
        <v>792</v>
      </c>
      <c r="U202" s="353">
        <f>SUM(U199:U201)/COUNT(U199:U201)</f>
        <v>0</v>
      </c>
      <c r="V202" s="355">
        <f>SUM(V199:V201)/COUNT(V199:V201)</f>
        <v>1.8116009235688162E-2</v>
      </c>
      <c r="W202" s="423"/>
      <c r="Y202" s="424"/>
      <c r="Z202" s="425"/>
      <c r="AA202" s="326"/>
      <c r="AB202" s="424"/>
      <c r="AC202" s="425"/>
      <c r="AD202" s="326"/>
      <c r="AE202" s="424"/>
      <c r="AF202" s="425"/>
      <c r="AG202" s="326"/>
      <c r="AH202" s="424"/>
      <c r="AI202" s="425"/>
      <c r="AJ202" s="334"/>
      <c r="AK202" s="423"/>
      <c r="AM202" s="424"/>
      <c r="AN202" s="425"/>
      <c r="AO202" s="326"/>
      <c r="AP202" s="424"/>
      <c r="AQ202" s="425"/>
      <c r="AR202" s="326"/>
      <c r="AS202" s="424"/>
      <c r="AT202" s="425"/>
      <c r="AU202" s="326"/>
      <c r="AV202" s="424"/>
      <c r="AW202" s="425"/>
      <c r="AX202" s="334"/>
      <c r="AY202" s="423"/>
      <c r="BA202" s="424"/>
      <c r="BB202" s="425"/>
      <c r="BC202" s="326"/>
      <c r="BD202" s="424"/>
      <c r="BE202" s="425"/>
      <c r="BF202" s="326"/>
      <c r="BG202" s="424"/>
      <c r="BH202" s="425"/>
      <c r="BI202" s="326"/>
      <c r="BJ202" s="424"/>
      <c r="BK202" s="425"/>
      <c r="BL202" s="334"/>
      <c r="BM202" s="423"/>
      <c r="BO202" s="424"/>
      <c r="BP202" s="425"/>
      <c r="BQ202" s="326"/>
      <c r="BR202" s="424"/>
      <c r="BS202" s="425"/>
      <c r="BT202" s="326"/>
      <c r="BU202" s="424"/>
      <c r="BV202" s="425"/>
      <c r="BW202" s="326"/>
      <c r="BX202" s="424"/>
      <c r="BY202" s="425"/>
      <c r="BZ202" s="334"/>
      <c r="CA202" s="423"/>
    </row>
    <row r="203" spans="2:79" ht="72" thickBot="1" x14ac:dyDescent="0.25">
      <c r="B203" s="848"/>
      <c r="C203" s="775" t="s">
        <v>146</v>
      </c>
      <c r="D203" s="369" t="str">
        <f>+'Plan de Accion 2018'!F73</f>
        <v>Apoyos técnicos entregados a la OAJ en recobros y reclamaciones una vez son resueltos por la Dirección de Tecnología de la Información</v>
      </c>
      <c r="E203" s="369" t="str">
        <f>+'Plan de Accion 2018'!B73</f>
        <v xml:space="preserve">Dirección de Otras Prestaciones  </v>
      </c>
      <c r="F203" s="416" t="str">
        <f>+'Plan de Accion 2018'!R73</f>
        <v># Apoyos Técnicos Entregados a la OAJ / # Apoyos Técnicos resueltos por la Dirección de Tecnología</v>
      </c>
      <c r="H203" s="327">
        <f>+'Plan de Accion 2018'!AA73</f>
        <v>0.25</v>
      </c>
      <c r="I203" s="328">
        <f>+'Plan de Accion 2018'!BL73</f>
        <v>1</v>
      </c>
      <c r="J203" s="330">
        <f>+'Plan de Accion 2018'!AE73</f>
        <v>0.25</v>
      </c>
      <c r="K203" s="344"/>
      <c r="L203" s="327">
        <f>+'Plan de Accion 2018'!AK73</f>
        <v>0</v>
      </c>
      <c r="M203" s="328">
        <f>+'Plan de Accion 2018'!BN73</f>
        <v>0</v>
      </c>
      <c r="N203" s="330">
        <f>+'Plan de Accion 2018'!AO73</f>
        <v>0.25</v>
      </c>
      <c r="O203" s="344"/>
      <c r="P203" s="327">
        <f>+'Plan de Accion 2018'!AU73</f>
        <v>0</v>
      </c>
      <c r="Q203" s="328">
        <f>+'Plan de Accion 2018'!BP73</f>
        <v>0</v>
      </c>
      <c r="R203" s="330">
        <f>+'Plan de Accion 2018'!AY73</f>
        <v>0.25</v>
      </c>
      <c r="S203" s="344"/>
      <c r="T203" s="327">
        <f>+'Plan de Accion 2018'!BE73</f>
        <v>0</v>
      </c>
      <c r="U203" s="328">
        <f>+'Plan de Accion 2018'!BR73</f>
        <v>0</v>
      </c>
      <c r="V203" s="330">
        <f>+'Plan de Accion 2018'!BI73</f>
        <v>0.25</v>
      </c>
      <c r="W203" s="423"/>
      <c r="Y203" s="424"/>
      <c r="Z203" s="425"/>
      <c r="AA203" s="326"/>
      <c r="AB203" s="424"/>
      <c r="AC203" s="425"/>
      <c r="AD203" s="326"/>
      <c r="AE203" s="424"/>
      <c r="AF203" s="425"/>
      <c r="AG203" s="326"/>
      <c r="AH203" s="424"/>
      <c r="AI203" s="425"/>
      <c r="AJ203" s="334"/>
      <c r="AK203" s="423"/>
      <c r="AM203" s="424"/>
      <c r="AN203" s="425"/>
      <c r="AO203" s="326"/>
      <c r="AP203" s="424"/>
      <c r="AQ203" s="425"/>
      <c r="AR203" s="326"/>
      <c r="AS203" s="424"/>
      <c r="AT203" s="425"/>
      <c r="AU203" s="326"/>
      <c r="AV203" s="424"/>
      <c r="AW203" s="425"/>
      <c r="AX203" s="334"/>
      <c r="AY203" s="423"/>
      <c r="BA203" s="424"/>
      <c r="BB203" s="425"/>
      <c r="BC203" s="326"/>
      <c r="BD203" s="424"/>
      <c r="BE203" s="425"/>
      <c r="BF203" s="326"/>
      <c r="BG203" s="424"/>
      <c r="BH203" s="425"/>
      <c r="BI203" s="326"/>
      <c r="BJ203" s="424"/>
      <c r="BK203" s="425"/>
      <c r="BL203" s="334"/>
      <c r="BM203" s="423"/>
      <c r="BO203" s="424"/>
      <c r="BP203" s="425"/>
      <c r="BQ203" s="326"/>
      <c r="BR203" s="424"/>
      <c r="BS203" s="425"/>
      <c r="BT203" s="326"/>
      <c r="BU203" s="424"/>
      <c r="BV203" s="425"/>
      <c r="BW203" s="326"/>
      <c r="BX203" s="424"/>
      <c r="BY203" s="425"/>
      <c r="BZ203" s="334"/>
      <c r="CA203" s="423"/>
    </row>
    <row r="204" spans="2:79" ht="57.75" thickBot="1" x14ac:dyDescent="0.25">
      <c r="B204" s="848"/>
      <c r="C204" s="776"/>
      <c r="D204" s="773" t="str">
        <f>+'Plan de Accion 2018'!F129</f>
        <v>Conciliaciones Prejudiciales y judiciales</v>
      </c>
      <c r="E204" s="773" t="str">
        <f>+'Plan de Accion 2018'!B129</f>
        <v>Oficina Asesora Jurídica</v>
      </c>
      <c r="F204" s="340" t="str">
        <f>+'Plan de Accion 2018'!J129</f>
        <v>Fichas técnicas de conciliaciones prejudiciales presentadas a consideración del Comité de Conciliación</v>
      </c>
      <c r="H204" s="336">
        <f>+'Plan de Accion 2018'!AA129</f>
        <v>2.5862068965517241E-2</v>
      </c>
      <c r="I204" s="337">
        <f>+'Plan de Accion 2018'!BL129</f>
        <v>0.10344827586206896</v>
      </c>
      <c r="J204" s="330">
        <f>+'Plan de Accion 2018'!AE129</f>
        <v>2.5862068965517241E-2</v>
      </c>
      <c r="K204" s="344"/>
      <c r="L204" s="336">
        <f>+'Plan de Accion 2018'!AK129</f>
        <v>0</v>
      </c>
      <c r="M204" s="337">
        <f>+'Plan de Accion 2018'!BN129</f>
        <v>0</v>
      </c>
      <c r="N204" s="338">
        <f>+'Plan de Accion 2018'!AO129</f>
        <v>2.5862068965517241E-2</v>
      </c>
      <c r="O204" s="344"/>
      <c r="P204" s="336">
        <f>+'Plan de Accion 2018'!AU129</f>
        <v>0</v>
      </c>
      <c r="Q204" s="337">
        <f>+'Plan de Accion 2018'!BP129</f>
        <v>0</v>
      </c>
      <c r="R204" s="338">
        <f>+'Plan de Accion 2018'!AY129</f>
        <v>2.5862068965517241E-2</v>
      </c>
      <c r="S204" s="344"/>
      <c r="T204" s="336">
        <f>+'Plan de Accion 2018'!BE129</f>
        <v>0</v>
      </c>
      <c r="U204" s="337">
        <f>+'Plan de Accion 2018'!BR129</f>
        <v>0</v>
      </c>
      <c r="V204" s="338">
        <f>+'Plan de Accion 2018'!BI129</f>
        <v>2.5862068965517241E-2</v>
      </c>
      <c r="W204" s="423"/>
      <c r="Y204" s="424"/>
      <c r="Z204" s="425"/>
      <c r="AA204" s="326"/>
      <c r="AB204" s="424"/>
      <c r="AC204" s="425"/>
      <c r="AD204" s="326"/>
      <c r="AE204" s="424"/>
      <c r="AF204" s="425"/>
      <c r="AG204" s="326"/>
      <c r="AH204" s="424"/>
      <c r="AI204" s="425"/>
      <c r="AJ204" s="334"/>
      <c r="AK204" s="423"/>
      <c r="AM204" s="424"/>
      <c r="AN204" s="425"/>
      <c r="AO204" s="326"/>
      <c r="AP204" s="424"/>
      <c r="AQ204" s="425"/>
      <c r="AR204" s="326"/>
      <c r="AS204" s="424"/>
      <c r="AT204" s="425"/>
      <c r="AU204" s="326"/>
      <c r="AV204" s="424"/>
      <c r="AW204" s="425"/>
      <c r="AX204" s="334"/>
      <c r="AY204" s="423"/>
      <c r="BA204" s="424"/>
      <c r="BB204" s="425"/>
      <c r="BC204" s="326"/>
      <c r="BD204" s="424"/>
      <c r="BE204" s="425"/>
      <c r="BF204" s="326"/>
      <c r="BG204" s="424"/>
      <c r="BH204" s="425"/>
      <c r="BI204" s="326"/>
      <c r="BJ204" s="424"/>
      <c r="BK204" s="425"/>
      <c r="BL204" s="334"/>
      <c r="BM204" s="423"/>
      <c r="BO204" s="424"/>
      <c r="BP204" s="425"/>
      <c r="BQ204" s="326"/>
      <c r="BR204" s="424"/>
      <c r="BS204" s="425"/>
      <c r="BT204" s="326"/>
      <c r="BU204" s="424"/>
      <c r="BV204" s="425"/>
      <c r="BW204" s="326"/>
      <c r="BX204" s="424"/>
      <c r="BY204" s="425"/>
      <c r="BZ204" s="334"/>
      <c r="CA204" s="423"/>
    </row>
    <row r="205" spans="2:79" ht="45" customHeight="1" thickBot="1" x14ac:dyDescent="0.25">
      <c r="B205" s="848"/>
      <c r="C205" s="776"/>
      <c r="D205" s="773"/>
      <c r="E205" s="773"/>
      <c r="F205" s="340" t="str">
        <f>+'Plan de Accion 2018'!J130</f>
        <v>Presentación de fichas técnicas de demandas ordinarias laborales  presentadas al Comité de Conciliación</v>
      </c>
      <c r="H205" s="336">
        <f>+'Plan de Accion 2018'!AA130</f>
        <v>0</v>
      </c>
      <c r="I205" s="337">
        <f>+'Plan de Accion 2018'!BL130</f>
        <v>0</v>
      </c>
      <c r="J205" s="330">
        <f>+'Plan de Accion 2018'!AE130</f>
        <v>0</v>
      </c>
      <c r="K205" s="344"/>
      <c r="L205" s="336">
        <f>+'Plan de Accion 2018'!AK130</f>
        <v>0</v>
      </c>
      <c r="M205" s="337">
        <f>+'Plan de Accion 2018'!BN130</f>
        <v>0</v>
      </c>
      <c r="N205" s="338">
        <f>+'Plan de Accion 2018'!AO130</f>
        <v>0</v>
      </c>
      <c r="O205" s="344"/>
      <c r="P205" s="336">
        <f>+'Plan de Accion 2018'!AU130</f>
        <v>0</v>
      </c>
      <c r="Q205" s="337">
        <f>+'Plan de Accion 2018'!BP130</f>
        <v>0</v>
      </c>
      <c r="R205" s="338">
        <f>+'Plan de Accion 2018'!AY130</f>
        <v>0</v>
      </c>
      <c r="S205" s="344"/>
      <c r="T205" s="336">
        <f>+'Plan de Accion 2018'!BE130</f>
        <v>0</v>
      </c>
      <c r="U205" s="337">
        <f>+'Plan de Accion 2018'!BR130</f>
        <v>0</v>
      </c>
      <c r="V205" s="338">
        <f>+'Plan de Accion 2018'!BI130</f>
        <v>0</v>
      </c>
      <c r="W205" s="423"/>
      <c r="Y205" s="424"/>
      <c r="Z205" s="425"/>
      <c r="AA205" s="326"/>
      <c r="AB205" s="424"/>
      <c r="AC205" s="425"/>
      <c r="AD205" s="326"/>
      <c r="AE205" s="424"/>
      <c r="AF205" s="425"/>
      <c r="AG205" s="326"/>
      <c r="AH205" s="424"/>
      <c r="AI205" s="425"/>
      <c r="AJ205" s="334"/>
      <c r="AK205" s="423"/>
      <c r="AM205" s="424"/>
      <c r="AN205" s="425"/>
      <c r="AO205" s="326"/>
      <c r="AP205" s="424"/>
      <c r="AQ205" s="425"/>
      <c r="AR205" s="326"/>
      <c r="AS205" s="424"/>
      <c r="AT205" s="425"/>
      <c r="AU205" s="326"/>
      <c r="AV205" s="424"/>
      <c r="AW205" s="425"/>
      <c r="AX205" s="334"/>
      <c r="AY205" s="423"/>
      <c r="BA205" s="424"/>
      <c r="BB205" s="425"/>
      <c r="BC205" s="326"/>
      <c r="BD205" s="424"/>
      <c r="BE205" s="425"/>
      <c r="BF205" s="326"/>
      <c r="BG205" s="424"/>
      <c r="BH205" s="425"/>
      <c r="BI205" s="326"/>
      <c r="BJ205" s="424"/>
      <c r="BK205" s="425"/>
      <c r="BL205" s="334"/>
      <c r="BM205" s="423"/>
      <c r="BO205" s="424"/>
      <c r="BP205" s="425"/>
      <c r="BQ205" s="326"/>
      <c r="BR205" s="424"/>
      <c r="BS205" s="425"/>
      <c r="BT205" s="326"/>
      <c r="BU205" s="424"/>
      <c r="BV205" s="425"/>
      <c r="BW205" s="326"/>
      <c r="BX205" s="424"/>
      <c r="BY205" s="425"/>
      <c r="BZ205" s="334"/>
      <c r="CA205" s="423"/>
    </row>
    <row r="206" spans="2:79" ht="45" customHeight="1" thickBot="1" x14ac:dyDescent="0.25">
      <c r="B206" s="848"/>
      <c r="C206" s="776"/>
      <c r="D206" s="451" t="str">
        <f>+'Plan de Accion 2018'!F131</f>
        <v>Comité de conciliación realizado</v>
      </c>
      <c r="E206" s="773"/>
      <c r="F206" s="340" t="str">
        <f>+'Plan de Accion 2018'!R131</f>
        <v># comités de conciliación llevados a cabo / # comités de conciliación requeridos en el trimestre</v>
      </c>
      <c r="H206" s="343">
        <f>+'Plan de Accion 2018'!AA131</f>
        <v>3</v>
      </c>
      <c r="I206" s="337">
        <f>+'Plan de Accion 2018'!BL131</f>
        <v>0.5</v>
      </c>
      <c r="J206" s="330">
        <f>+'Plan de Accion 2018'!AE131</f>
        <v>0.125</v>
      </c>
      <c r="K206" s="344"/>
      <c r="L206" s="336">
        <f>+'Plan de Accion 2018'!AK131</f>
        <v>0</v>
      </c>
      <c r="M206" s="337">
        <f>+'Plan de Accion 2018'!BN131</f>
        <v>0</v>
      </c>
      <c r="N206" s="338">
        <f>+'Plan de Accion 2018'!AO131</f>
        <v>0.125</v>
      </c>
      <c r="O206" s="344"/>
      <c r="P206" s="336">
        <f>+'Plan de Accion 2018'!AU131</f>
        <v>0</v>
      </c>
      <c r="Q206" s="337">
        <f>+'Plan de Accion 2018'!BP131</f>
        <v>0</v>
      </c>
      <c r="R206" s="338">
        <f>+'Plan de Accion 2018'!AY131</f>
        <v>0.125</v>
      </c>
      <c r="S206" s="344"/>
      <c r="T206" s="336">
        <f>+'Plan de Accion 2018'!BE131</f>
        <v>0</v>
      </c>
      <c r="U206" s="337">
        <f>+'Plan de Accion 2018'!BR131</f>
        <v>0</v>
      </c>
      <c r="V206" s="338">
        <f>+'Plan de Accion 2018'!BI131</f>
        <v>0.125</v>
      </c>
      <c r="W206" s="423"/>
      <c r="Y206" s="453"/>
      <c r="Z206" s="425"/>
      <c r="AA206" s="326"/>
      <c r="AB206" s="453"/>
      <c r="AC206" s="425"/>
      <c r="AD206" s="326"/>
      <c r="AE206" s="453"/>
      <c r="AF206" s="425"/>
      <c r="AG206" s="326"/>
      <c r="AH206" s="453"/>
      <c r="AI206" s="425"/>
      <c r="AJ206" s="334"/>
      <c r="AK206" s="423"/>
      <c r="AM206" s="453"/>
      <c r="AN206" s="425"/>
      <c r="AO206" s="326"/>
      <c r="AP206" s="453"/>
      <c r="AQ206" s="425"/>
      <c r="AR206" s="326"/>
      <c r="AS206" s="453"/>
      <c r="AT206" s="425"/>
      <c r="AU206" s="326"/>
      <c r="AV206" s="453"/>
      <c r="AW206" s="425"/>
      <c r="AX206" s="334"/>
      <c r="AY206" s="423"/>
      <c r="BA206" s="453"/>
      <c r="BB206" s="425"/>
      <c r="BC206" s="326"/>
      <c r="BD206" s="453"/>
      <c r="BE206" s="425"/>
      <c r="BF206" s="326"/>
      <c r="BG206" s="453"/>
      <c r="BH206" s="425"/>
      <c r="BI206" s="326"/>
      <c r="BJ206" s="453"/>
      <c r="BK206" s="425"/>
      <c r="BL206" s="334"/>
      <c r="BM206" s="423"/>
      <c r="BO206" s="453"/>
      <c r="BP206" s="425"/>
      <c r="BQ206" s="326"/>
      <c r="BR206" s="453"/>
      <c r="BS206" s="425"/>
      <c r="BT206" s="326"/>
      <c r="BU206" s="453"/>
      <c r="BV206" s="425"/>
      <c r="BW206" s="326"/>
      <c r="BX206" s="453"/>
      <c r="BY206" s="425"/>
      <c r="BZ206" s="334"/>
      <c r="CA206" s="423"/>
    </row>
    <row r="207" spans="2:79" ht="29.25" thickBot="1" x14ac:dyDescent="0.25">
      <c r="B207" s="848"/>
      <c r="C207" s="776"/>
      <c r="D207" s="339" t="str">
        <f>+'Plan de Accion 2018'!F135</f>
        <v xml:space="preserve">Emisión de Conceptos Jurídicos </v>
      </c>
      <c r="E207" s="773"/>
      <c r="F207" s="340" t="str">
        <f>+'Plan de Accion 2018'!R135</f>
        <v># conceptos emitidos / # conceptos requeridos</v>
      </c>
      <c r="H207" s="336">
        <f>+'Plan de Accion 2018'!AA135</f>
        <v>0.203125</v>
      </c>
      <c r="I207" s="337">
        <f>+'Plan de Accion 2018'!BL135</f>
        <v>0.8125</v>
      </c>
      <c r="J207" s="330">
        <f>+'Plan de Accion 2018'!AE135</f>
        <v>0.203125</v>
      </c>
      <c r="K207" s="344"/>
      <c r="L207" s="336">
        <f>+'Plan de Accion 2018'!AK135</f>
        <v>0</v>
      </c>
      <c r="M207" s="337">
        <f>+'Plan de Accion 2018'!BN135</f>
        <v>0</v>
      </c>
      <c r="N207" s="338">
        <f>+'Plan de Accion 2018'!AO135</f>
        <v>0.203125</v>
      </c>
      <c r="O207" s="344"/>
      <c r="P207" s="336">
        <f>+'Plan de Accion 2018'!AU135</f>
        <v>0</v>
      </c>
      <c r="Q207" s="337">
        <f>+'Plan de Accion 2018'!BP135</f>
        <v>0</v>
      </c>
      <c r="R207" s="338">
        <f>+'Plan de Accion 2018'!AY135</f>
        <v>0.203125</v>
      </c>
      <c r="S207" s="344"/>
      <c r="T207" s="336">
        <f>+'Plan de Accion 2018'!BE135</f>
        <v>0</v>
      </c>
      <c r="U207" s="337">
        <f>+'Plan de Accion 2018'!BR135</f>
        <v>0</v>
      </c>
      <c r="V207" s="338">
        <f>+'Plan de Accion 2018'!BI135</f>
        <v>0.203125</v>
      </c>
      <c r="W207" s="423"/>
      <c r="Y207" s="424"/>
      <c r="Z207" s="425"/>
      <c r="AA207" s="326"/>
      <c r="AB207" s="424"/>
      <c r="AC207" s="425"/>
      <c r="AD207" s="326"/>
      <c r="AE207" s="424"/>
      <c r="AF207" s="425"/>
      <c r="AG207" s="326"/>
      <c r="AH207" s="424"/>
      <c r="AI207" s="425"/>
      <c r="AJ207" s="334"/>
      <c r="AK207" s="423"/>
      <c r="AM207" s="424"/>
      <c r="AN207" s="425"/>
      <c r="AO207" s="326"/>
      <c r="AP207" s="424"/>
      <c r="AQ207" s="425"/>
      <c r="AR207" s="326"/>
      <c r="AS207" s="424"/>
      <c r="AT207" s="425"/>
      <c r="AU207" s="326"/>
      <c r="AV207" s="424"/>
      <c r="AW207" s="425"/>
      <c r="AX207" s="334"/>
      <c r="AY207" s="423"/>
      <c r="BA207" s="424"/>
      <c r="BB207" s="425"/>
      <c r="BC207" s="326"/>
      <c r="BD207" s="424"/>
      <c r="BE207" s="425"/>
      <c r="BF207" s="326"/>
      <c r="BG207" s="424"/>
      <c r="BH207" s="425"/>
      <c r="BI207" s="326"/>
      <c r="BJ207" s="424"/>
      <c r="BK207" s="425"/>
      <c r="BL207" s="334"/>
      <c r="BM207" s="423"/>
      <c r="BO207" s="424"/>
      <c r="BP207" s="425"/>
      <c r="BQ207" s="326"/>
      <c r="BR207" s="424"/>
      <c r="BS207" s="425"/>
      <c r="BT207" s="326"/>
      <c r="BU207" s="424"/>
      <c r="BV207" s="425"/>
      <c r="BW207" s="326"/>
      <c r="BX207" s="424"/>
      <c r="BY207" s="425"/>
      <c r="BZ207" s="334"/>
      <c r="CA207" s="423"/>
    </row>
    <row r="208" spans="2:79" ht="29.25" customHeight="1" thickBot="1" x14ac:dyDescent="0.3">
      <c r="B208" s="848"/>
      <c r="C208" s="776"/>
      <c r="D208" s="429" t="str">
        <f>+'Plan de Accion 2018'!F136</f>
        <v>Depuración de Cartera FOSYGA y/o ADRES</v>
      </c>
      <c r="E208" s="773"/>
      <c r="F208" s="347" t="str">
        <f>+'Plan de Accion 2018'!R136</f>
        <v># Informes reportados</v>
      </c>
      <c r="G208" s="342"/>
      <c r="H208" s="336">
        <f>+'Plan de Accion 2018'!AA136</f>
        <v>1</v>
      </c>
      <c r="I208" s="337">
        <f>+'Plan de Accion 2018'!BL136</f>
        <v>0.5</v>
      </c>
      <c r="J208" s="330">
        <f>+'Plan de Accion 2018'!AE136</f>
        <v>0.5</v>
      </c>
      <c r="K208" s="344"/>
      <c r="L208" s="336">
        <f>+'Plan de Accion 2018'!AK136</f>
        <v>0</v>
      </c>
      <c r="M208" s="337" t="str">
        <f>+'Plan de Accion 2018'!BN136</f>
        <v>No Prog ni Ejec</v>
      </c>
      <c r="N208" s="338">
        <f>+'Plan de Accion 2018'!AO136</f>
        <v>0.5</v>
      </c>
      <c r="O208" s="344"/>
      <c r="P208" s="336">
        <f>+'Plan de Accion 2018'!AU136</f>
        <v>0</v>
      </c>
      <c r="Q208" s="337" t="str">
        <f>+'Plan de Accion 2018'!BP136</f>
        <v>No Prog ni Ejec</v>
      </c>
      <c r="R208" s="338">
        <f>+'Plan de Accion 2018'!AY136</f>
        <v>0.5</v>
      </c>
      <c r="S208" s="344"/>
      <c r="T208" s="336">
        <f>+'Plan de Accion 2018'!BE136</f>
        <v>0</v>
      </c>
      <c r="U208" s="337" t="str">
        <f>+'Plan de Accion 2018'!BR136</f>
        <v>No Prog ni Ejec</v>
      </c>
      <c r="V208" s="338">
        <f>+'Plan de Accion 2018'!BI136</f>
        <v>0.5</v>
      </c>
      <c r="W208" s="423"/>
      <c r="Y208" s="424"/>
      <c r="Z208" s="425"/>
      <c r="AA208" s="326"/>
      <c r="AB208" s="424"/>
      <c r="AC208" s="425"/>
      <c r="AD208" s="326"/>
      <c r="AE208" s="424"/>
      <c r="AF208" s="425"/>
      <c r="AG208" s="326"/>
      <c r="AH208" s="424"/>
      <c r="AI208" s="425"/>
      <c r="AJ208" s="334"/>
      <c r="AK208" s="423"/>
      <c r="AM208" s="424"/>
      <c r="AN208" s="425"/>
      <c r="AO208" s="326"/>
      <c r="AP208" s="424"/>
      <c r="AQ208" s="425"/>
      <c r="AR208" s="326"/>
      <c r="AS208" s="424"/>
      <c r="AT208" s="425"/>
      <c r="AU208" s="326"/>
      <c r="AV208" s="424"/>
      <c r="AW208" s="425"/>
      <c r="AX208" s="334"/>
      <c r="AY208" s="423"/>
      <c r="BA208" s="424"/>
      <c r="BB208" s="425"/>
      <c r="BC208" s="326"/>
      <c r="BD208" s="424"/>
      <c r="BE208" s="425"/>
      <c r="BF208" s="326"/>
      <c r="BG208" s="424"/>
      <c r="BH208" s="425"/>
      <c r="BI208" s="326"/>
      <c r="BJ208" s="424"/>
      <c r="BK208" s="425"/>
      <c r="BL208" s="334"/>
      <c r="BM208" s="423"/>
      <c r="BO208" s="424"/>
      <c r="BP208" s="425"/>
      <c r="BQ208" s="326"/>
      <c r="BR208" s="424"/>
      <c r="BS208" s="425"/>
      <c r="BT208" s="326"/>
      <c r="BU208" s="424"/>
      <c r="BV208" s="425"/>
      <c r="BW208" s="326"/>
      <c r="BX208" s="424"/>
      <c r="BY208" s="425"/>
      <c r="BZ208" s="334"/>
      <c r="CA208" s="423"/>
    </row>
    <row r="209" spans="2:79" ht="86.25" thickBot="1" x14ac:dyDescent="0.25">
      <c r="B209" s="848"/>
      <c r="C209" s="777"/>
      <c r="D209" s="345" t="str">
        <f>+'Plan de Accion 2018'!F154</f>
        <v>Procesos penales</v>
      </c>
      <c r="E209" s="774"/>
      <c r="F209" s="347" t="str">
        <f>+'Plan de Accion 2018'!R154</f>
        <v># procesos penales en los que el apoderado adelantó actuación judicial / # procesos penales en los que es parte, tercero interviniente o víctima la ADRES</v>
      </c>
      <c r="H209" s="348">
        <f>+'Plan de Accion 2018'!AA154</f>
        <v>0.25</v>
      </c>
      <c r="I209" s="349">
        <f>+'Plan de Accion 2018'!BL154</f>
        <v>1</v>
      </c>
      <c r="J209" s="440">
        <f>+'Plan de Accion 2018'!AE154</f>
        <v>0.25</v>
      </c>
      <c r="K209" s="344"/>
      <c r="L209" s="348">
        <f>+'Plan de Accion 2018'!AK154</f>
        <v>0</v>
      </c>
      <c r="M209" s="349">
        <f>+'Plan de Accion 2018'!BN154</f>
        <v>0</v>
      </c>
      <c r="N209" s="350">
        <f>+'Plan de Accion 2018'!AO154</f>
        <v>0.25</v>
      </c>
      <c r="O209" s="344"/>
      <c r="P209" s="348">
        <f>+'Plan de Accion 2018'!AU154</f>
        <v>0</v>
      </c>
      <c r="Q209" s="349">
        <f>+'Plan de Accion 2018'!BP154</f>
        <v>0</v>
      </c>
      <c r="R209" s="350">
        <f>+'Plan de Accion 2018'!AY154</f>
        <v>0.25</v>
      </c>
      <c r="S209" s="344"/>
      <c r="T209" s="348">
        <f>+'Plan de Accion 2018'!BE154</f>
        <v>0</v>
      </c>
      <c r="U209" s="349">
        <f>+'Plan de Accion 2018'!BR154</f>
        <v>0</v>
      </c>
      <c r="V209" s="350">
        <f>+'Plan de Accion 2018'!BI154</f>
        <v>0.25</v>
      </c>
      <c r="W209" s="423"/>
      <c r="Y209" s="424"/>
      <c r="Z209" s="425"/>
      <c r="AA209" s="326"/>
      <c r="AB209" s="424"/>
      <c r="AC209" s="425"/>
      <c r="AD209" s="326"/>
      <c r="AE209" s="424"/>
      <c r="AF209" s="425"/>
      <c r="AG209" s="326"/>
      <c r="AH209" s="424"/>
      <c r="AI209" s="425"/>
      <c r="AJ209" s="334"/>
      <c r="AK209" s="423"/>
      <c r="AM209" s="424"/>
      <c r="AN209" s="425"/>
      <c r="AO209" s="326"/>
      <c r="AP209" s="424"/>
      <c r="AQ209" s="425"/>
      <c r="AR209" s="326"/>
      <c r="AS209" s="424"/>
      <c r="AT209" s="425"/>
      <c r="AU209" s="326"/>
      <c r="AV209" s="424"/>
      <c r="AW209" s="425"/>
      <c r="AX209" s="334"/>
      <c r="AY209" s="423"/>
      <c r="BA209" s="424"/>
      <c r="BB209" s="425"/>
      <c r="BC209" s="326"/>
      <c r="BD209" s="424"/>
      <c r="BE209" s="425"/>
      <c r="BF209" s="326"/>
      <c r="BG209" s="424"/>
      <c r="BH209" s="425"/>
      <c r="BI209" s="326"/>
      <c r="BJ209" s="424"/>
      <c r="BK209" s="425"/>
      <c r="BL209" s="334"/>
      <c r="BM209" s="423"/>
      <c r="BO209" s="424"/>
      <c r="BP209" s="425"/>
      <c r="BQ209" s="326"/>
      <c r="BR209" s="424"/>
      <c r="BS209" s="425"/>
      <c r="BT209" s="326"/>
      <c r="BU209" s="424"/>
      <c r="BV209" s="425"/>
      <c r="BW209" s="326"/>
      <c r="BX209" s="424"/>
      <c r="BY209" s="425"/>
      <c r="BZ209" s="334"/>
      <c r="CA209" s="423"/>
    </row>
    <row r="210" spans="2:79" ht="15.75" thickBot="1" x14ac:dyDescent="0.25">
      <c r="B210" s="849"/>
      <c r="C210" s="850" t="s">
        <v>811</v>
      </c>
      <c r="D210" s="851"/>
      <c r="E210" s="851"/>
      <c r="F210" s="852"/>
      <c r="H210" s="367" t="s">
        <v>792</v>
      </c>
      <c r="I210" s="353">
        <f>SUM(I203:I209)/COUNT(I203:I209)</f>
        <v>0.5594211822660099</v>
      </c>
      <c r="J210" s="355">
        <f>SUM(J203:J209)/COUNT(J203:J209)</f>
        <v>0.19342672413793105</v>
      </c>
      <c r="K210" s="378"/>
      <c r="L210" s="367" t="s">
        <v>792</v>
      </c>
      <c r="M210" s="353">
        <f>SUM(M203:M209)/COUNT(M203:M209)</f>
        <v>0</v>
      </c>
      <c r="N210" s="355">
        <f>SUM(N203:N209)/COUNT(N203:N209)</f>
        <v>0.19342672413793105</v>
      </c>
      <c r="O210" s="378"/>
      <c r="P210" s="367" t="s">
        <v>792</v>
      </c>
      <c r="Q210" s="353">
        <f>SUM(Q203:Q209)/COUNT(Q203:Q209)</f>
        <v>0</v>
      </c>
      <c r="R210" s="355">
        <f>SUM(R203:R209)/COUNT(R203:R209)</f>
        <v>0.19342672413793105</v>
      </c>
      <c r="S210" s="378"/>
      <c r="T210" s="367" t="s">
        <v>792</v>
      </c>
      <c r="U210" s="353">
        <f>SUM(U203:U209)/COUNT(U203:U209)</f>
        <v>0</v>
      </c>
      <c r="V210" s="355">
        <f>SUM(V203:V209)/COUNT(V203:V209)</f>
        <v>0.19342672413793105</v>
      </c>
      <c r="W210" s="423"/>
      <c r="Y210" s="424"/>
      <c r="Z210" s="425"/>
      <c r="AA210" s="326"/>
      <c r="AB210" s="424"/>
      <c r="AC210" s="425"/>
      <c r="AD210" s="326"/>
      <c r="AE210" s="424"/>
      <c r="AF210" s="425"/>
      <c r="AG210" s="326"/>
      <c r="AH210" s="424"/>
      <c r="AI210" s="425"/>
      <c r="AJ210" s="334"/>
      <c r="AK210" s="423"/>
      <c r="AM210" s="424"/>
      <c r="AN210" s="425"/>
      <c r="AO210" s="326"/>
      <c r="AP210" s="424"/>
      <c r="AQ210" s="425"/>
      <c r="AR210" s="326"/>
      <c r="AS210" s="424"/>
      <c r="AT210" s="425"/>
      <c r="AU210" s="326"/>
      <c r="AV210" s="424"/>
      <c r="AW210" s="425"/>
      <c r="AX210" s="334"/>
      <c r="AY210" s="423"/>
      <c r="BA210" s="424"/>
      <c r="BB210" s="425"/>
      <c r="BC210" s="326"/>
      <c r="BD210" s="424"/>
      <c r="BE210" s="425"/>
      <c r="BF210" s="326"/>
      <c r="BG210" s="424"/>
      <c r="BH210" s="425"/>
      <c r="BI210" s="326"/>
      <c r="BJ210" s="424"/>
      <c r="BK210" s="425"/>
      <c r="BL210" s="334"/>
      <c r="BM210" s="423"/>
      <c r="BO210" s="424"/>
      <c r="BP210" s="425"/>
      <c r="BQ210" s="326"/>
      <c r="BR210" s="424"/>
      <c r="BS210" s="425"/>
      <c r="BT210" s="326"/>
      <c r="BU210" s="424"/>
      <c r="BV210" s="425"/>
      <c r="BW210" s="326"/>
      <c r="BX210" s="424"/>
      <c r="BY210" s="425"/>
      <c r="BZ210" s="334"/>
      <c r="CA210" s="423"/>
    </row>
    <row r="211" spans="2:79" ht="20.25" thickBot="1" x14ac:dyDescent="0.3">
      <c r="B211" s="836" t="s">
        <v>812</v>
      </c>
      <c r="C211" s="837"/>
      <c r="D211" s="837"/>
      <c r="E211" s="837"/>
      <c r="F211" s="838"/>
      <c r="H211" s="391" t="s">
        <v>792</v>
      </c>
      <c r="I211" s="392">
        <f>+(I195+I198+I202+I210)/4</f>
        <v>0.8662823614769094</v>
      </c>
      <c r="J211" s="393">
        <f>+(J195+J198+J202+J210)/4</f>
        <v>0.2560967917228647</v>
      </c>
      <c r="K211" s="390"/>
      <c r="L211" s="388" t="s">
        <v>792</v>
      </c>
      <c r="M211" s="389">
        <f>+(M195+M198+M202+M210)/4</f>
        <v>0</v>
      </c>
      <c r="N211" s="430">
        <f>+(N195+N198+N202+N210)/4</f>
        <v>0.2560967917228647</v>
      </c>
      <c r="O211" s="390"/>
      <c r="P211" s="431" t="s">
        <v>792</v>
      </c>
      <c r="Q211" s="432">
        <f>+(Q195+Q198+Q202+Q210)/4</f>
        <v>0</v>
      </c>
      <c r="R211" s="433">
        <f>+(R195+R198+R202+R210)/4</f>
        <v>0.2560967917228647</v>
      </c>
      <c r="S211" s="390"/>
      <c r="T211" s="391" t="s">
        <v>792</v>
      </c>
      <c r="U211" s="392">
        <f>+(U195+U198+U202+U210)/4</f>
        <v>0</v>
      </c>
      <c r="V211" s="393">
        <f>+(V195+V198+V202+V210)/4</f>
        <v>0.2560967917228647</v>
      </c>
      <c r="Y211" s="417"/>
      <c r="Z211" s="434" t="e">
        <f>SUM(Z173:Z186)/COUNT(Z173:Z186)</f>
        <v>#REF!</v>
      </c>
      <c r="AA211" s="419"/>
      <c r="AB211" s="417"/>
      <c r="AC211" s="418" t="e">
        <f>SUM(AC173:AC186)/COUNT(AC173:AC186)</f>
        <v>#REF!</v>
      </c>
      <c r="AD211" s="419"/>
      <c r="AE211" s="417"/>
      <c r="AF211" s="418" t="e">
        <f>SUM(AF173:AF186)/COUNT(AF173:AF186)</f>
        <v>#REF!</v>
      </c>
      <c r="AG211" s="419"/>
      <c r="AH211" s="417"/>
      <c r="AI211" s="418" t="e">
        <f>SUM(AI173:AI186)/COUNT(AI173:AI186)</f>
        <v>#REF!</v>
      </c>
      <c r="AM211" s="417"/>
      <c r="AN211" s="434" t="e">
        <f>SUM(AN173:AN186)/COUNT(AN173:AN186)</f>
        <v>#REF!</v>
      </c>
      <c r="AO211" s="419"/>
      <c r="AP211" s="417"/>
      <c r="AQ211" s="418" t="e">
        <f>SUM(AQ173:AQ186)/COUNT(AQ173:AQ186)</f>
        <v>#REF!</v>
      </c>
      <c r="AR211" s="419"/>
      <c r="AS211" s="417"/>
      <c r="AT211" s="418" t="e">
        <f>SUM(AT173:AT186)/COUNT(AT173:AT186)</f>
        <v>#REF!</v>
      </c>
      <c r="AU211" s="419"/>
      <c r="AV211" s="417"/>
      <c r="AW211" s="418" t="e">
        <f>SUM(AW173:AW186)/COUNT(AW173:AW186)</f>
        <v>#REF!</v>
      </c>
      <c r="BA211" s="417"/>
      <c r="BB211" s="434" t="e">
        <f>SUM(BB173:BB186)/COUNT(BB173:BB186)</f>
        <v>#REF!</v>
      </c>
      <c r="BC211" s="419"/>
      <c r="BD211" s="417"/>
      <c r="BE211" s="418" t="e">
        <f>SUM(BE173:BE186)/COUNT(BE173:BE186)</f>
        <v>#REF!</v>
      </c>
      <c r="BF211" s="419"/>
      <c r="BG211" s="417"/>
      <c r="BH211" s="418" t="e">
        <f>SUM(BH173:BH186)/COUNT(BH173:BH186)</f>
        <v>#REF!</v>
      </c>
      <c r="BI211" s="419"/>
      <c r="BJ211" s="417"/>
      <c r="BK211" s="418" t="e">
        <f>SUM(BK173:BK186)/COUNT(BK173:BK186)</f>
        <v>#REF!</v>
      </c>
      <c r="BO211" s="417"/>
      <c r="BP211" s="434" t="e">
        <f>SUM(BP173:BP186)/COUNT(BP173:BP186)</f>
        <v>#REF!</v>
      </c>
      <c r="BQ211" s="419"/>
      <c r="BR211" s="417"/>
      <c r="BS211" s="418" t="e">
        <f>SUM(BS173:BS186)/COUNT(BS173:BS186)</f>
        <v>#REF!</v>
      </c>
      <c r="BT211" s="419"/>
      <c r="BU211" s="417"/>
      <c r="BV211" s="418" t="e">
        <f>SUM(BV173:BV186)/COUNT(BV173:BV186)</f>
        <v>#REF!</v>
      </c>
      <c r="BW211" s="419"/>
      <c r="BX211" s="417"/>
      <c r="BY211" s="418" t="e">
        <f>SUM(BY173:BY186)/COUNT(BY173:BY186)</f>
        <v>#REF!</v>
      </c>
    </row>
    <row r="212" spans="2:79" ht="22.5" customHeight="1" x14ac:dyDescent="0.2">
      <c r="B212" s="847" t="s">
        <v>794</v>
      </c>
      <c r="C212" s="840" t="s">
        <v>256</v>
      </c>
      <c r="D212" s="369" t="str">
        <f>+'Plan de Accion 2018'!F101</f>
        <v>Plan de capacitación</v>
      </c>
      <c r="E212" s="846" t="str">
        <f>+'Plan de Accion 2018'!B101</f>
        <v>Dirección Administrativa y Financiera</v>
      </c>
      <c r="F212" s="416" t="str">
        <f>+'Plan de Accion 2018'!R101</f>
        <v># Capacitaciones Ejecutadas</v>
      </c>
      <c r="H212" s="403">
        <f>+'Plan de Accion 2018'!AA101</f>
        <v>4</v>
      </c>
      <c r="I212" s="328">
        <f>+'Plan de Accion 2018'!BL101</f>
        <v>1.3333333333333333</v>
      </c>
      <c r="J212" s="330">
        <f>+'Plan de Accion 2018'!AE101</f>
        <v>0.44444444444444442</v>
      </c>
      <c r="K212" s="344"/>
      <c r="L212" s="327">
        <f>+'Plan de Accion 2018'!AK101</f>
        <v>0</v>
      </c>
      <c r="M212" s="328">
        <f>+'Plan de Accion 2018'!BN101</f>
        <v>0</v>
      </c>
      <c r="N212" s="330">
        <f>+'Plan de Accion 2018'!AO101</f>
        <v>0.44444444444444442</v>
      </c>
      <c r="O212" s="344"/>
      <c r="P212" s="336">
        <f>+'Plan de Accion 2018'!AU101</f>
        <v>0</v>
      </c>
      <c r="Q212" s="337">
        <f>+'Plan de Accion 2018'!BP101</f>
        <v>0</v>
      </c>
      <c r="R212" s="338">
        <f>+'Plan de Accion 2018'!AY101</f>
        <v>0.44444444444444442</v>
      </c>
      <c r="S212" s="344"/>
      <c r="T212" s="327">
        <f>+'Plan de Accion 2018'!BE101</f>
        <v>0</v>
      </c>
      <c r="U212" s="328">
        <f>+'Plan de Accion 2018'!BR101</f>
        <v>0</v>
      </c>
      <c r="V212" s="330">
        <f>+'Plan de Accion 2018'!BI101</f>
        <v>0.44444444444444442</v>
      </c>
      <c r="W212" s="797"/>
      <c r="Y212" s="788"/>
      <c r="Z212" s="785" t="e">
        <f>+Y212/#REF!</f>
        <v>#REF!</v>
      </c>
      <c r="AA212" s="326"/>
      <c r="AB212" s="791"/>
      <c r="AC212" s="785" t="e">
        <f>+AB212/#REF!</f>
        <v>#REF!</v>
      </c>
      <c r="AD212" s="326"/>
      <c r="AE212" s="785"/>
      <c r="AF212" s="785" t="e">
        <f>+AE212/#REF!</f>
        <v>#REF!</v>
      </c>
      <c r="AG212" s="326"/>
      <c r="AH212" s="785"/>
      <c r="AI212" s="785" t="e">
        <f>+AH212/#REF!</f>
        <v>#REF!</v>
      </c>
      <c r="AJ212" s="334"/>
      <c r="AK212" s="794"/>
      <c r="AM212" s="788"/>
      <c r="AN212" s="785" t="e">
        <f>+AM212/#REF!</f>
        <v>#REF!</v>
      </c>
      <c r="AO212" s="326"/>
      <c r="AP212" s="791"/>
      <c r="AQ212" s="785" t="e">
        <f>+AP212/#REF!</f>
        <v>#REF!</v>
      </c>
      <c r="AR212" s="326"/>
      <c r="AS212" s="785"/>
      <c r="AT212" s="785" t="e">
        <f>+AS212/#REF!</f>
        <v>#REF!</v>
      </c>
      <c r="AU212" s="326"/>
      <c r="AV212" s="785"/>
      <c r="AW212" s="785" t="e">
        <f>+AV212/#REF!</f>
        <v>#REF!</v>
      </c>
      <c r="AX212" s="334"/>
      <c r="AY212" s="794"/>
      <c r="BA212" s="788"/>
      <c r="BB212" s="785" t="e">
        <f>+BA212/#REF!</f>
        <v>#REF!</v>
      </c>
      <c r="BC212" s="326"/>
      <c r="BD212" s="791"/>
      <c r="BE212" s="785" t="e">
        <f>+BD212/#REF!</f>
        <v>#REF!</v>
      </c>
      <c r="BF212" s="326"/>
      <c r="BG212" s="785"/>
      <c r="BH212" s="785" t="e">
        <f>+BG212/#REF!</f>
        <v>#REF!</v>
      </c>
      <c r="BI212" s="326"/>
      <c r="BJ212" s="785"/>
      <c r="BK212" s="785" t="e">
        <f>+BJ212/#REF!</f>
        <v>#REF!</v>
      </c>
      <c r="BL212" s="334"/>
      <c r="BM212" s="794"/>
      <c r="BO212" s="788"/>
      <c r="BP212" s="785" t="e">
        <f>+BO212/#REF!</f>
        <v>#REF!</v>
      </c>
      <c r="BQ212" s="326"/>
      <c r="BR212" s="791"/>
      <c r="BS212" s="785" t="e">
        <f>+BR212/#REF!</f>
        <v>#REF!</v>
      </c>
      <c r="BT212" s="326"/>
      <c r="BU212" s="785"/>
      <c r="BV212" s="785" t="e">
        <f>+BU212/#REF!</f>
        <v>#REF!</v>
      </c>
      <c r="BW212" s="326"/>
      <c r="BX212" s="785"/>
      <c r="BY212" s="785" t="e">
        <f>+BX212/#REF!</f>
        <v>#REF!</v>
      </c>
      <c r="BZ212" s="334"/>
      <c r="CA212" s="794"/>
    </row>
    <row r="213" spans="2:79" ht="57" x14ac:dyDescent="0.2">
      <c r="B213" s="848"/>
      <c r="C213" s="812"/>
      <c r="D213" s="339" t="str">
        <f>+'Plan de Accion 2018'!F102</f>
        <v>Plan de Bienestar</v>
      </c>
      <c r="E213" s="818"/>
      <c r="F213" s="340" t="str">
        <f>+'Plan de Accion 2018'!R102</f>
        <v># Encuestas Efectivas al Cumplimiento del Objetivo / # Encuestas de Satisfacciones Realizadas</v>
      </c>
      <c r="H213" s="336">
        <f>+'Plan de Accion 2018'!AA102</f>
        <v>0.24</v>
      </c>
      <c r="I213" s="337">
        <f>+'Plan de Accion 2018'!BL102</f>
        <v>0.96</v>
      </c>
      <c r="J213" s="330">
        <f>+'Plan de Accion 2018'!AE102</f>
        <v>0.24</v>
      </c>
      <c r="K213" s="344"/>
      <c r="L213" s="336">
        <f>+'Plan de Accion 2018'!AK102</f>
        <v>0</v>
      </c>
      <c r="M213" s="337">
        <f>+'Plan de Accion 2018'!BN102</f>
        <v>0</v>
      </c>
      <c r="N213" s="338">
        <f>+'Plan de Accion 2018'!AO102</f>
        <v>0.24</v>
      </c>
      <c r="O213" s="344"/>
      <c r="P213" s="336">
        <f>+'Plan de Accion 2018'!AU102</f>
        <v>0</v>
      </c>
      <c r="Q213" s="337">
        <f>+'Plan de Accion 2018'!BP102</f>
        <v>0</v>
      </c>
      <c r="R213" s="338">
        <f>+'Plan de Accion 2018'!AY102</f>
        <v>0.24</v>
      </c>
      <c r="S213" s="344"/>
      <c r="T213" s="336">
        <f>+'Plan de Accion 2018'!BE102</f>
        <v>0</v>
      </c>
      <c r="U213" s="337">
        <f>+'Plan de Accion 2018'!BR102</f>
        <v>0</v>
      </c>
      <c r="V213" s="338">
        <f>+'Plan de Accion 2018'!BI102</f>
        <v>0.24</v>
      </c>
      <c r="W213" s="798"/>
      <c r="Y213" s="789"/>
      <c r="Z213" s="786"/>
      <c r="AA213" s="326"/>
      <c r="AB213" s="792"/>
      <c r="AC213" s="786"/>
      <c r="AD213" s="326"/>
      <c r="AE213" s="786"/>
      <c r="AF213" s="786"/>
      <c r="AG213" s="326"/>
      <c r="AH213" s="786"/>
      <c r="AI213" s="786"/>
      <c r="AJ213" s="334"/>
      <c r="AK213" s="795"/>
      <c r="AM213" s="789"/>
      <c r="AN213" s="786"/>
      <c r="AO213" s="326"/>
      <c r="AP213" s="792"/>
      <c r="AQ213" s="786"/>
      <c r="AR213" s="326"/>
      <c r="AS213" s="786"/>
      <c r="AT213" s="786"/>
      <c r="AU213" s="326"/>
      <c r="AV213" s="786"/>
      <c r="AW213" s="786"/>
      <c r="AX213" s="334"/>
      <c r="AY213" s="795"/>
      <c r="BA213" s="789"/>
      <c r="BB213" s="786"/>
      <c r="BC213" s="326"/>
      <c r="BD213" s="792"/>
      <c r="BE213" s="786"/>
      <c r="BF213" s="326"/>
      <c r="BG213" s="786"/>
      <c r="BH213" s="786"/>
      <c r="BI213" s="326"/>
      <c r="BJ213" s="786"/>
      <c r="BK213" s="786"/>
      <c r="BL213" s="334"/>
      <c r="BM213" s="795"/>
      <c r="BO213" s="789"/>
      <c r="BP213" s="786"/>
      <c r="BQ213" s="326"/>
      <c r="BR213" s="792"/>
      <c r="BS213" s="786"/>
      <c r="BT213" s="326"/>
      <c r="BU213" s="786"/>
      <c r="BV213" s="786"/>
      <c r="BW213" s="326"/>
      <c r="BX213" s="786"/>
      <c r="BY213" s="786"/>
      <c r="BZ213" s="334"/>
      <c r="CA213" s="795"/>
    </row>
    <row r="214" spans="2:79" ht="43.5" thickBot="1" x14ac:dyDescent="0.25">
      <c r="B214" s="848"/>
      <c r="C214" s="813"/>
      <c r="D214" s="345" t="str">
        <f>+'Plan de Accion 2018'!F121</f>
        <v>Actividades de promoción del  autocontrol para los funcionarios de ADRES.</v>
      </c>
      <c r="E214" s="346" t="str">
        <f>+'Plan de Accion 2018'!B121</f>
        <v>Oficina de Control Interno</v>
      </c>
      <c r="F214" s="347" t="str">
        <f>+'Plan de Accion 2018'!R121</f>
        <v>(Cantidad de Mensajes de autocontrol del mes/12) *100</v>
      </c>
      <c r="H214" s="348">
        <f>+'Plan de Accion 2018'!AA121</f>
        <v>0.25</v>
      </c>
      <c r="I214" s="349">
        <f>+'Plan de Accion 2018'!BL121</f>
        <v>1</v>
      </c>
      <c r="J214" s="440">
        <f>+'Plan de Accion 2018'!AE121</f>
        <v>0.25</v>
      </c>
      <c r="K214" s="344"/>
      <c r="L214" s="348">
        <f>+'Plan de Accion 2018'!AK121</f>
        <v>0</v>
      </c>
      <c r="M214" s="349">
        <f>+'Plan de Accion 2018'!BN121</f>
        <v>0</v>
      </c>
      <c r="N214" s="350">
        <f>+'Plan de Accion 2018'!AO121</f>
        <v>0.25</v>
      </c>
      <c r="O214" s="344"/>
      <c r="P214" s="348">
        <f>+'Plan de Accion 2018'!AU121</f>
        <v>0</v>
      </c>
      <c r="Q214" s="349">
        <f>+'Plan de Accion 2018'!BP121</f>
        <v>0</v>
      </c>
      <c r="R214" s="350">
        <f>+'Plan de Accion 2018'!AY121</f>
        <v>0.25</v>
      </c>
      <c r="S214" s="344"/>
      <c r="T214" s="348">
        <f>+'Plan de Accion 2018'!BE121</f>
        <v>0</v>
      </c>
      <c r="U214" s="349">
        <f>+'Plan de Accion 2018'!BR121</f>
        <v>0</v>
      </c>
      <c r="V214" s="350">
        <f>+'Plan de Accion 2018'!BI121</f>
        <v>0.25</v>
      </c>
      <c r="W214" s="799"/>
      <c r="Y214" s="790"/>
      <c r="Z214" s="787"/>
      <c r="AA214" s="326"/>
      <c r="AB214" s="793"/>
      <c r="AC214" s="787"/>
      <c r="AD214" s="326"/>
      <c r="AE214" s="787"/>
      <c r="AF214" s="787"/>
      <c r="AG214" s="326"/>
      <c r="AH214" s="787"/>
      <c r="AI214" s="787"/>
      <c r="AJ214" s="334"/>
      <c r="AK214" s="796"/>
      <c r="AM214" s="790"/>
      <c r="AN214" s="787"/>
      <c r="AO214" s="326"/>
      <c r="AP214" s="793"/>
      <c r="AQ214" s="787"/>
      <c r="AR214" s="326"/>
      <c r="AS214" s="787"/>
      <c r="AT214" s="787"/>
      <c r="AU214" s="326"/>
      <c r="AV214" s="787"/>
      <c r="AW214" s="787"/>
      <c r="AX214" s="334"/>
      <c r="AY214" s="796"/>
      <c r="BA214" s="790"/>
      <c r="BB214" s="787"/>
      <c r="BC214" s="326"/>
      <c r="BD214" s="793"/>
      <c r="BE214" s="787"/>
      <c r="BF214" s="326"/>
      <c r="BG214" s="787"/>
      <c r="BH214" s="787"/>
      <c r="BI214" s="326"/>
      <c r="BJ214" s="787"/>
      <c r="BK214" s="787"/>
      <c r="BL214" s="334"/>
      <c r="BM214" s="796"/>
      <c r="BO214" s="790"/>
      <c r="BP214" s="787"/>
      <c r="BQ214" s="326"/>
      <c r="BR214" s="793"/>
      <c r="BS214" s="787"/>
      <c r="BT214" s="326"/>
      <c r="BU214" s="787"/>
      <c r="BV214" s="787"/>
      <c r="BW214" s="326"/>
      <c r="BX214" s="787"/>
      <c r="BY214" s="787"/>
      <c r="BZ214" s="334"/>
      <c r="CA214" s="796"/>
    </row>
    <row r="215" spans="2:79" ht="15.75" thickBot="1" x14ac:dyDescent="0.25">
      <c r="B215" s="849"/>
      <c r="C215" s="850" t="s">
        <v>813</v>
      </c>
      <c r="D215" s="851"/>
      <c r="E215" s="851"/>
      <c r="F215" s="852"/>
      <c r="H215" s="367" t="s">
        <v>792</v>
      </c>
      <c r="I215" s="353">
        <f>SUM(I212:I214)/COUNT(I212:I214)</f>
        <v>1.0977777777777777</v>
      </c>
      <c r="J215" s="355">
        <f>SUM(J212:J214)/COUNT(J212:J214)</f>
        <v>0.31148148148148147</v>
      </c>
      <c r="K215" s="378"/>
      <c r="L215" s="367" t="s">
        <v>792</v>
      </c>
      <c r="M215" s="353">
        <f>SUM(M212:M214)/COUNT(M212:M214)</f>
        <v>0</v>
      </c>
      <c r="N215" s="355">
        <f>SUM(N212:N214)/COUNT(N212:N214)</f>
        <v>0.31148148148148147</v>
      </c>
      <c r="O215" s="378"/>
      <c r="P215" s="367" t="s">
        <v>792</v>
      </c>
      <c r="Q215" s="353">
        <f>SUM(Q212:Q214)/COUNT(Q212:Q214)</f>
        <v>0</v>
      </c>
      <c r="R215" s="355">
        <f>SUM(R212:R214)/COUNT(R212:R214)</f>
        <v>0.31148148148148147</v>
      </c>
      <c r="S215" s="378"/>
      <c r="T215" s="367" t="s">
        <v>792</v>
      </c>
      <c r="U215" s="353">
        <f>SUM(U212:U214)/COUNT(U212:U214)</f>
        <v>0</v>
      </c>
      <c r="V215" s="355">
        <f>SUM(V212:V214)/COUNT(V212:V214)</f>
        <v>0.31148148148148147</v>
      </c>
      <c r="W215" s="331"/>
      <c r="Y215" s="333"/>
      <c r="Z215" s="333"/>
      <c r="AA215" s="326"/>
      <c r="AB215" s="435"/>
      <c r="AC215" s="333"/>
      <c r="AD215" s="326"/>
      <c r="AE215" s="333"/>
      <c r="AF215" s="333"/>
      <c r="AG215" s="326"/>
      <c r="AH215" s="333"/>
      <c r="AI215" s="333"/>
      <c r="AJ215" s="334"/>
      <c r="AK215" s="335"/>
      <c r="AM215" s="333"/>
      <c r="AN215" s="333"/>
      <c r="AO215" s="326"/>
      <c r="AP215" s="435"/>
      <c r="AQ215" s="333"/>
      <c r="AR215" s="326"/>
      <c r="AS215" s="333"/>
      <c r="AT215" s="333"/>
      <c r="AU215" s="326"/>
      <c r="AV215" s="333"/>
      <c r="AW215" s="333"/>
      <c r="AX215" s="334"/>
      <c r="AY215" s="335"/>
      <c r="BA215" s="333"/>
      <c r="BB215" s="333"/>
      <c r="BC215" s="326"/>
      <c r="BD215" s="435"/>
      <c r="BE215" s="333"/>
      <c r="BF215" s="326"/>
      <c r="BG215" s="333"/>
      <c r="BH215" s="333"/>
      <c r="BI215" s="326"/>
      <c r="BJ215" s="333"/>
      <c r="BK215" s="333"/>
      <c r="BL215" s="334"/>
      <c r="BM215" s="335"/>
      <c r="BO215" s="333"/>
      <c r="BP215" s="333"/>
      <c r="BQ215" s="326"/>
      <c r="BR215" s="435"/>
      <c r="BS215" s="333"/>
      <c r="BT215" s="326"/>
      <c r="BU215" s="333"/>
      <c r="BV215" s="333"/>
      <c r="BW215" s="326"/>
      <c r="BX215" s="333"/>
      <c r="BY215" s="333"/>
      <c r="BZ215" s="334"/>
      <c r="CA215" s="335"/>
    </row>
    <row r="216" spans="2:79" ht="20.25" thickBot="1" x14ac:dyDescent="0.3">
      <c r="B216" s="836" t="s">
        <v>814</v>
      </c>
      <c r="C216" s="837"/>
      <c r="D216" s="837"/>
      <c r="E216" s="837"/>
      <c r="F216" s="838"/>
      <c r="H216" s="391" t="str">
        <f>+H215</f>
        <v>N.A</v>
      </c>
      <c r="I216" s="392">
        <f>+I215</f>
        <v>1.0977777777777777</v>
      </c>
      <c r="J216" s="393">
        <f>+J215</f>
        <v>0.31148148148148147</v>
      </c>
      <c r="K216" s="390"/>
      <c r="L216" s="391" t="str">
        <f>+L215</f>
        <v>N.A</v>
      </c>
      <c r="M216" s="392">
        <f>+M215</f>
        <v>0</v>
      </c>
      <c r="N216" s="393">
        <f>+N215</f>
        <v>0.31148148148148147</v>
      </c>
      <c r="O216" s="390"/>
      <c r="P216" s="391" t="str">
        <f>+P215</f>
        <v>N.A</v>
      </c>
      <c r="Q216" s="392">
        <f>+Q215</f>
        <v>0</v>
      </c>
      <c r="R216" s="393">
        <f>+R215</f>
        <v>0.31148148148148147</v>
      </c>
      <c r="S216" s="390"/>
      <c r="T216" s="391" t="str">
        <f>+T215</f>
        <v>N.A</v>
      </c>
      <c r="U216" s="392">
        <f>+U215</f>
        <v>0</v>
      </c>
      <c r="V216" s="393">
        <f>+V215</f>
        <v>0.31148148148148147</v>
      </c>
      <c r="Y216" s="417"/>
      <c r="Z216" s="434" t="e">
        <f>SUM(Z212:Z215)/COUNT(Z212:Z215)</f>
        <v>#REF!</v>
      </c>
      <c r="AA216" s="419"/>
      <c r="AB216" s="417"/>
      <c r="AC216" s="418" t="e">
        <f>SUM(AC212:AC215)/COUNT(AC212:AC215)</f>
        <v>#REF!</v>
      </c>
      <c r="AD216" s="419"/>
      <c r="AE216" s="417"/>
      <c r="AF216" s="418" t="e">
        <f>SUM(AF212:AF215)/COUNT(AF212:AF215)</f>
        <v>#REF!</v>
      </c>
      <c r="AG216" s="419"/>
      <c r="AH216" s="417"/>
      <c r="AI216" s="418" t="e">
        <f>SUM(AI212:AI215)/COUNT(AI212:AI215)</f>
        <v>#REF!</v>
      </c>
      <c r="AM216" s="417"/>
      <c r="AN216" s="434" t="e">
        <f>SUM(AN212:AN215)/COUNT(AN212:AN215)</f>
        <v>#REF!</v>
      </c>
      <c r="AO216" s="419"/>
      <c r="AP216" s="417"/>
      <c r="AQ216" s="418" t="e">
        <f>SUM(AQ212:AQ215)/COUNT(AQ212:AQ215)</f>
        <v>#REF!</v>
      </c>
      <c r="AR216" s="419"/>
      <c r="AS216" s="417"/>
      <c r="AT216" s="418" t="e">
        <f>SUM(AT212:AT215)/COUNT(AT212:AT215)</f>
        <v>#REF!</v>
      </c>
      <c r="AU216" s="419"/>
      <c r="AV216" s="417"/>
      <c r="AW216" s="418" t="e">
        <f>SUM(AW212:AW215)/COUNT(AW212:AW215)</f>
        <v>#REF!</v>
      </c>
      <c r="BA216" s="417"/>
      <c r="BB216" s="434" t="e">
        <f>SUM(BB212:BB215)/COUNT(BB212:BB215)</f>
        <v>#REF!</v>
      </c>
      <c r="BC216" s="419"/>
      <c r="BD216" s="417"/>
      <c r="BE216" s="418" t="e">
        <f>SUM(BE212:BE215)/COUNT(BE212:BE215)</f>
        <v>#REF!</v>
      </c>
      <c r="BF216" s="419"/>
      <c r="BG216" s="417"/>
      <c r="BH216" s="418" t="e">
        <f>SUM(BH212:BH215)/COUNT(BH212:BH215)</f>
        <v>#REF!</v>
      </c>
      <c r="BI216" s="419"/>
      <c r="BJ216" s="417"/>
      <c r="BK216" s="418" t="e">
        <f>SUM(BK212:BK215)/COUNT(BK212:BK215)</f>
        <v>#REF!</v>
      </c>
      <c r="BO216" s="417"/>
      <c r="BP216" s="434" t="e">
        <f>SUM(BP212:BP215)/COUNT(BP212:BP215)</f>
        <v>#REF!</v>
      </c>
      <c r="BQ216" s="419"/>
      <c r="BR216" s="417"/>
      <c r="BS216" s="418" t="e">
        <f>SUM(BS212:BS215)/COUNT(BS212:BS215)</f>
        <v>#REF!</v>
      </c>
      <c r="BT216" s="419"/>
      <c r="BU216" s="417"/>
      <c r="BV216" s="418" t="e">
        <f>SUM(BV212:BV215)/COUNT(BV212:BV215)</f>
        <v>#REF!</v>
      </c>
      <c r="BW216" s="419"/>
      <c r="BX216" s="417"/>
      <c r="BY216" s="418" t="e">
        <f>SUM(BY212:BY215)/COUNT(BY212:BY215)</f>
        <v>#REF!</v>
      </c>
    </row>
    <row r="217" spans="2:79" ht="25.5" thickBot="1" x14ac:dyDescent="0.3">
      <c r="B217" s="836" t="s">
        <v>815</v>
      </c>
      <c r="C217" s="837"/>
      <c r="D217" s="837"/>
      <c r="E217" s="837"/>
      <c r="F217" s="838"/>
      <c r="H217" s="441" t="str">
        <f>+H216</f>
        <v>N.A</v>
      </c>
      <c r="I217" s="442">
        <f>(I104+I172+I211+I216)/4</f>
        <v>0.89584672043598212</v>
      </c>
      <c r="J217" s="443">
        <f>+(J104+J172+J211+J216)/4</f>
        <v>0.23504430618119065</v>
      </c>
      <c r="K217" s="390"/>
      <c r="L217" s="388" t="str">
        <f>+L216</f>
        <v>N.A</v>
      </c>
      <c r="M217" s="389">
        <f ca="1">+(M104+M172+M211+M216)/4</f>
        <v>0</v>
      </c>
      <c r="N217" s="430">
        <f>+(N104+N172+N211+N216)/4</f>
        <v>0.23504430618119065</v>
      </c>
      <c r="O217" s="390"/>
      <c r="P217" s="388" t="str">
        <f>+P216</f>
        <v>N.A</v>
      </c>
      <c r="Q217" s="389">
        <f ca="1">+(Q104+Q172+Q211+Q216)/4</f>
        <v>0</v>
      </c>
      <c r="R217" s="430">
        <f>+(R104+R172+R211+R216)/4</f>
        <v>0.23513218892231577</v>
      </c>
      <c r="S217" s="390"/>
      <c r="T217" s="388" t="str">
        <f>+T216</f>
        <v>N.A</v>
      </c>
      <c r="U217" s="389">
        <f ca="1">+(U104+U172+U211+U216)/4</f>
        <v>0</v>
      </c>
      <c r="V217" s="430">
        <f>+(V104+V172+V211+V216)/4</f>
        <v>0.23504430618119065</v>
      </c>
      <c r="AT217" s="303"/>
      <c r="AU217" s="303"/>
    </row>
    <row r="218" spans="2:79" ht="19.5" x14ac:dyDescent="0.25">
      <c r="B218" s="436"/>
      <c r="C218" s="436"/>
      <c r="D218" s="436"/>
      <c r="E218" s="436"/>
    </row>
    <row r="219" spans="2:79" x14ac:dyDescent="0.2">
      <c r="B219" s="437"/>
      <c r="C219" s="437"/>
      <c r="D219" s="437"/>
      <c r="E219" s="437"/>
      <c r="F219" s="438"/>
    </row>
    <row r="220" spans="2:79" x14ac:dyDescent="0.2">
      <c r="B220" s="437"/>
      <c r="C220" s="437"/>
      <c r="D220" s="437"/>
      <c r="E220" s="437"/>
      <c r="F220" s="438"/>
    </row>
    <row r="221" spans="2:79" x14ac:dyDescent="0.2">
      <c r="B221" s="437"/>
      <c r="C221" s="437"/>
      <c r="D221" s="437"/>
      <c r="E221" s="437"/>
      <c r="F221" s="438"/>
    </row>
    <row r="223" spans="2:79" ht="18" x14ac:dyDescent="0.25">
      <c r="B223" s="439"/>
      <c r="C223" s="439"/>
      <c r="D223" s="439"/>
      <c r="E223" s="439"/>
      <c r="I223" s="306"/>
      <c r="J223" s="306"/>
    </row>
    <row r="224" spans="2:79" ht="18" x14ac:dyDescent="0.25">
      <c r="B224" s="439"/>
      <c r="C224" s="439"/>
      <c r="D224" s="439"/>
      <c r="E224" s="439"/>
      <c r="G224" s="300"/>
      <c r="H224" s="300"/>
      <c r="K224" s="300"/>
      <c r="O224" s="300"/>
      <c r="S224" s="300"/>
    </row>
    <row r="225" spans="2:19" ht="18" x14ac:dyDescent="0.25">
      <c r="B225" s="439"/>
      <c r="C225" s="439"/>
      <c r="D225" s="439"/>
      <c r="E225" s="439"/>
      <c r="G225" s="300"/>
      <c r="H225" s="300"/>
      <c r="K225" s="300"/>
      <c r="O225" s="300"/>
      <c r="S225" s="300"/>
    </row>
    <row r="245" spans="8:8" x14ac:dyDescent="0.2">
      <c r="H245" s="301">
        <f>15+72+110+27</f>
        <v>224</v>
      </c>
    </row>
    <row r="246" spans="8:8" x14ac:dyDescent="0.2">
      <c r="H246" s="301">
        <f>+H245/4</f>
        <v>56</v>
      </c>
    </row>
    <row r="247" spans="8:8" x14ac:dyDescent="0.2">
      <c r="H247" s="301">
        <f>1+21+31+10</f>
        <v>63</v>
      </c>
    </row>
    <row r="248" spans="8:8" x14ac:dyDescent="0.2">
      <c r="H248" s="301">
        <f>+H247/4</f>
        <v>15.75</v>
      </c>
    </row>
  </sheetData>
  <autoFilter ref="B14:CA217"/>
  <mergeCells count="475">
    <mergeCell ref="B1:C3"/>
    <mergeCell ref="D1:E1"/>
    <mergeCell ref="F1:P1"/>
    <mergeCell ref="Q1:W3"/>
    <mergeCell ref="D2:E2"/>
    <mergeCell ref="F2:P2"/>
    <mergeCell ref="D3:E3"/>
    <mergeCell ref="G3:M3"/>
    <mergeCell ref="N3:O3"/>
    <mergeCell ref="E212:E213"/>
    <mergeCell ref="C212:C214"/>
    <mergeCell ref="F58:F63"/>
    <mergeCell ref="F68:F70"/>
    <mergeCell ref="F72:F73"/>
    <mergeCell ref="F75:F78"/>
    <mergeCell ref="F82:F94"/>
    <mergeCell ref="F96:F102"/>
    <mergeCell ref="B104:F104"/>
    <mergeCell ref="C74:F74"/>
    <mergeCell ref="C95:F95"/>
    <mergeCell ref="E37:E63"/>
    <mergeCell ref="C37:C63"/>
    <mergeCell ref="C65:C73"/>
    <mergeCell ref="E65:E73"/>
    <mergeCell ref="C103:F103"/>
    <mergeCell ref="B15:B103"/>
    <mergeCell ref="B172:F172"/>
    <mergeCell ref="C171:F171"/>
    <mergeCell ref="F115:F116"/>
    <mergeCell ref="B105:B171"/>
    <mergeCell ref="C118:C139"/>
    <mergeCell ref="C149:F149"/>
    <mergeCell ref="D142:D144"/>
    <mergeCell ref="C141:C148"/>
    <mergeCell ref="E141:E148"/>
    <mergeCell ref="C150:C160"/>
    <mergeCell ref="E150:E160"/>
    <mergeCell ref="C161:F161"/>
    <mergeCell ref="D134:D135"/>
    <mergeCell ref="F134:F135"/>
    <mergeCell ref="C105:C116"/>
    <mergeCell ref="E105:E111"/>
    <mergeCell ref="E115:E116"/>
    <mergeCell ref="C117:F117"/>
    <mergeCell ref="E118:E132"/>
    <mergeCell ref="E133:E139"/>
    <mergeCell ref="D122:D123"/>
    <mergeCell ref="C140:F140"/>
    <mergeCell ref="C162:C170"/>
    <mergeCell ref="D162:D170"/>
    <mergeCell ref="D157:D160"/>
    <mergeCell ref="D112:D113"/>
    <mergeCell ref="E112:E113"/>
    <mergeCell ref="B217:F217"/>
    <mergeCell ref="E188:E192"/>
    <mergeCell ref="E193:E194"/>
    <mergeCell ref="C195:F195"/>
    <mergeCell ref="C173:C194"/>
    <mergeCell ref="C198:F198"/>
    <mergeCell ref="C202:F202"/>
    <mergeCell ref="E204:E209"/>
    <mergeCell ref="D204:D205"/>
    <mergeCell ref="C199:C201"/>
    <mergeCell ref="C203:C209"/>
    <mergeCell ref="B216:F216"/>
    <mergeCell ref="E199:E201"/>
    <mergeCell ref="C196:C197"/>
    <mergeCell ref="E173:E174"/>
    <mergeCell ref="E175:E176"/>
    <mergeCell ref="E177:E178"/>
    <mergeCell ref="E179:E180"/>
    <mergeCell ref="E181:E187"/>
    <mergeCell ref="B211:F211"/>
    <mergeCell ref="B212:B215"/>
    <mergeCell ref="C215:F215"/>
    <mergeCell ref="C210:F210"/>
    <mergeCell ref="B173:B210"/>
    <mergeCell ref="BA13:BM13"/>
    <mergeCell ref="BO13:CA13"/>
    <mergeCell ref="D37:D57"/>
    <mergeCell ref="F37:F57"/>
    <mergeCell ref="C64:F64"/>
    <mergeCell ref="D15:D17"/>
    <mergeCell ref="BV16:BV37"/>
    <mergeCell ref="BX16:BX37"/>
    <mergeCell ref="BY16:BY37"/>
    <mergeCell ref="CA16:CA37"/>
    <mergeCell ref="BJ16:BJ37"/>
    <mergeCell ref="BK16:BK37"/>
    <mergeCell ref="BM16:BM37"/>
    <mergeCell ref="BO16:BO37"/>
    <mergeCell ref="BP16:BP37"/>
    <mergeCell ref="BR16:BR37"/>
    <mergeCell ref="BS16:BS37"/>
    <mergeCell ref="BU16:BU37"/>
    <mergeCell ref="BA16:BA37"/>
    <mergeCell ref="BB16:BB37"/>
    <mergeCell ref="BD16:BD37"/>
    <mergeCell ref="BE16:BE37"/>
    <mergeCell ref="BG16:BG37"/>
    <mergeCell ref="BH16:BH37"/>
    <mergeCell ref="C15:C35"/>
    <mergeCell ref="C36:F36"/>
    <mergeCell ref="E15:E33"/>
    <mergeCell ref="D5:E5"/>
    <mergeCell ref="H13:W13"/>
    <mergeCell ref="Y13:AK13"/>
    <mergeCell ref="AM13:AY13"/>
    <mergeCell ref="W16:W37"/>
    <mergeCell ref="AM16:AM37"/>
    <mergeCell ref="AN16:AN37"/>
    <mergeCell ref="AP16:AP37"/>
    <mergeCell ref="Y16:Y37"/>
    <mergeCell ref="Z16:Z37"/>
    <mergeCell ref="AB16:AB37"/>
    <mergeCell ref="AC16:AC37"/>
    <mergeCell ref="AE16:AE37"/>
    <mergeCell ref="AF16:AF37"/>
    <mergeCell ref="AQ16:AQ37"/>
    <mergeCell ref="AS16:AS37"/>
    <mergeCell ref="AT16:AT37"/>
    <mergeCell ref="AV16:AV37"/>
    <mergeCell ref="AW16:AW37"/>
    <mergeCell ref="AY16:AY37"/>
    <mergeCell ref="B5:C5"/>
    <mergeCell ref="AW38:AW40"/>
    <mergeCell ref="BB38:BB40"/>
    <mergeCell ref="BD38:BD40"/>
    <mergeCell ref="D18:D19"/>
    <mergeCell ref="AH16:AH37"/>
    <mergeCell ref="AI16:AI37"/>
    <mergeCell ref="AK16:AK37"/>
    <mergeCell ref="F16:F20"/>
    <mergeCell ref="Z38:Z40"/>
    <mergeCell ref="AB38:AB40"/>
    <mergeCell ref="AC38:AC40"/>
    <mergeCell ref="AE38:AE40"/>
    <mergeCell ref="AF38:AF40"/>
    <mergeCell ref="F25:F34"/>
    <mergeCell ref="AQ38:AQ40"/>
    <mergeCell ref="AS38:AS40"/>
    <mergeCell ref="AT38:AT40"/>
    <mergeCell ref="BA38:BA40"/>
    <mergeCell ref="Y38:Y40"/>
    <mergeCell ref="AH38:AH40"/>
    <mergeCell ref="AI38:AI40"/>
    <mergeCell ref="AM38:AM40"/>
    <mergeCell ref="W105:W107"/>
    <mergeCell ref="Y105:Y107"/>
    <mergeCell ref="Z105:Z107"/>
    <mergeCell ref="AM105:AM107"/>
    <mergeCell ref="AN105:AN107"/>
    <mergeCell ref="AP105:AP107"/>
    <mergeCell ref="AQ105:AQ107"/>
    <mergeCell ref="AS105:AS107"/>
    <mergeCell ref="AB105:AB107"/>
    <mergeCell ref="AC105:AC107"/>
    <mergeCell ref="AE105:AE107"/>
    <mergeCell ref="AF105:AF107"/>
    <mergeCell ref="AH105:AH107"/>
    <mergeCell ref="AI105:AI107"/>
    <mergeCell ref="AK105:AK107"/>
    <mergeCell ref="AN38:AN40"/>
    <mergeCell ref="BX105:BX107"/>
    <mergeCell ref="BY105:BY107"/>
    <mergeCell ref="AT105:AT107"/>
    <mergeCell ref="AV105:AV107"/>
    <mergeCell ref="AW105:AW107"/>
    <mergeCell ref="AY105:AY107"/>
    <mergeCell ref="BA105:BA107"/>
    <mergeCell ref="BB105:BB107"/>
    <mergeCell ref="BG38:BG40"/>
    <mergeCell ref="BH38:BH40"/>
    <mergeCell ref="BJ38:BJ40"/>
    <mergeCell ref="BE38:BE40"/>
    <mergeCell ref="BV38:BV40"/>
    <mergeCell ref="BX38:BX40"/>
    <mergeCell ref="BY38:BY40"/>
    <mergeCell ref="BK38:BK40"/>
    <mergeCell ref="BO38:BO40"/>
    <mergeCell ref="BP38:BP40"/>
    <mergeCell ref="BR38:BR40"/>
    <mergeCell ref="BS38:BS40"/>
    <mergeCell ref="BU38:BU40"/>
    <mergeCell ref="AP38:AP40"/>
    <mergeCell ref="AV38:AV40"/>
    <mergeCell ref="CA105:CA107"/>
    <mergeCell ref="BM105:BM107"/>
    <mergeCell ref="BO105:BO107"/>
    <mergeCell ref="BP105:BP107"/>
    <mergeCell ref="BR105:BR107"/>
    <mergeCell ref="BS105:BS107"/>
    <mergeCell ref="BU105:BU107"/>
    <mergeCell ref="BD105:BD107"/>
    <mergeCell ref="BE105:BE107"/>
    <mergeCell ref="BG105:BG107"/>
    <mergeCell ref="BH105:BH107"/>
    <mergeCell ref="BJ105:BJ107"/>
    <mergeCell ref="BK105:BK107"/>
    <mergeCell ref="BV105:BV107"/>
    <mergeCell ref="W108:W111"/>
    <mergeCell ref="Y108:Y111"/>
    <mergeCell ref="Z108:Z111"/>
    <mergeCell ref="AB108:AB111"/>
    <mergeCell ref="AC108:AC111"/>
    <mergeCell ref="AN108:AN111"/>
    <mergeCell ref="AP108:AP111"/>
    <mergeCell ref="AQ108:AQ111"/>
    <mergeCell ref="AS108:AS111"/>
    <mergeCell ref="AT108:AT111"/>
    <mergeCell ref="AV108:AV111"/>
    <mergeCell ref="AE108:AE111"/>
    <mergeCell ref="AF108:AF111"/>
    <mergeCell ref="AH108:AH111"/>
    <mergeCell ref="AI108:AI111"/>
    <mergeCell ref="AK108:AK111"/>
    <mergeCell ref="AM108:AM111"/>
    <mergeCell ref="BY108:BY111"/>
    <mergeCell ref="AW108:AW111"/>
    <mergeCell ref="AY108:AY111"/>
    <mergeCell ref="BA108:BA111"/>
    <mergeCell ref="BB108:BB111"/>
    <mergeCell ref="BD108:BD111"/>
    <mergeCell ref="BE108:BE111"/>
    <mergeCell ref="CA108:CA111"/>
    <mergeCell ref="BP108:BP111"/>
    <mergeCell ref="BR108:BR111"/>
    <mergeCell ref="BS108:BS111"/>
    <mergeCell ref="BU108:BU111"/>
    <mergeCell ref="BV108:BV111"/>
    <mergeCell ref="BX108:BX111"/>
    <mergeCell ref="BG108:BG111"/>
    <mergeCell ref="BH108:BH111"/>
    <mergeCell ref="BJ108:BJ111"/>
    <mergeCell ref="BK108:BK111"/>
    <mergeCell ref="BM108:BM111"/>
    <mergeCell ref="BO108:BO111"/>
    <mergeCell ref="BU114:BU116"/>
    <mergeCell ref="BV114:BV116"/>
    <mergeCell ref="BX114:BX116"/>
    <mergeCell ref="BY114:BY116"/>
    <mergeCell ref="BH114:BH116"/>
    <mergeCell ref="BJ114:BJ116"/>
    <mergeCell ref="BK114:BK116"/>
    <mergeCell ref="BO114:BO116"/>
    <mergeCell ref="BP114:BP116"/>
    <mergeCell ref="BR114:BR116"/>
    <mergeCell ref="BS114:BS116"/>
    <mergeCell ref="AW114:AW116"/>
    <mergeCell ref="BA114:BA116"/>
    <mergeCell ref="BB114:BB116"/>
    <mergeCell ref="BD114:BD116"/>
    <mergeCell ref="BE114:BE116"/>
    <mergeCell ref="BG114:BG116"/>
    <mergeCell ref="AN114:AN116"/>
    <mergeCell ref="AP114:AP116"/>
    <mergeCell ref="AQ114:AQ116"/>
    <mergeCell ref="AS114:AS116"/>
    <mergeCell ref="AT114:AT116"/>
    <mergeCell ref="AV114:AV116"/>
    <mergeCell ref="AC114:AC116"/>
    <mergeCell ref="AE114:AE116"/>
    <mergeCell ref="AF114:AF116"/>
    <mergeCell ref="AH114:AH116"/>
    <mergeCell ref="AI114:AI116"/>
    <mergeCell ref="AM114:AM116"/>
    <mergeCell ref="Y114:Y116"/>
    <mergeCell ref="Z114:Z116"/>
    <mergeCell ref="AB114:AB116"/>
    <mergeCell ref="W173:W177"/>
    <mergeCell ref="AY173:AY177"/>
    <mergeCell ref="AH173:AH177"/>
    <mergeCell ref="AI173:AI177"/>
    <mergeCell ref="AK173:AK177"/>
    <mergeCell ref="AM173:AM177"/>
    <mergeCell ref="AN173:AN177"/>
    <mergeCell ref="AP173:AP177"/>
    <mergeCell ref="Y173:Y177"/>
    <mergeCell ref="Z173:Z177"/>
    <mergeCell ref="AB173:AB177"/>
    <mergeCell ref="AC173:AC177"/>
    <mergeCell ref="AE173:AE177"/>
    <mergeCell ref="AF173:AF177"/>
    <mergeCell ref="AW173:AW177"/>
    <mergeCell ref="BS173:BS177"/>
    <mergeCell ref="BU173:BU177"/>
    <mergeCell ref="BV173:BV177"/>
    <mergeCell ref="BX173:BX177"/>
    <mergeCell ref="BY173:BY177"/>
    <mergeCell ref="CA173:CA177"/>
    <mergeCell ref="BJ173:BJ177"/>
    <mergeCell ref="BK173:BK177"/>
    <mergeCell ref="BM173:BM177"/>
    <mergeCell ref="BO173:BO177"/>
    <mergeCell ref="BP173:BP177"/>
    <mergeCell ref="BR173:BR177"/>
    <mergeCell ref="BA173:BA177"/>
    <mergeCell ref="BB173:BB177"/>
    <mergeCell ref="BD173:BD177"/>
    <mergeCell ref="BE173:BE177"/>
    <mergeCell ref="BG173:BG177"/>
    <mergeCell ref="BH173:BH177"/>
    <mergeCell ref="AQ173:AQ177"/>
    <mergeCell ref="AS173:AS177"/>
    <mergeCell ref="AT173:AT177"/>
    <mergeCell ref="AV173:AV177"/>
    <mergeCell ref="W178:W180"/>
    <mergeCell ref="Y178:Y180"/>
    <mergeCell ref="Z178:Z180"/>
    <mergeCell ref="AB178:AB180"/>
    <mergeCell ref="AC178:AC180"/>
    <mergeCell ref="AN178:AN180"/>
    <mergeCell ref="AP178:AP180"/>
    <mergeCell ref="AQ178:AQ180"/>
    <mergeCell ref="AS178:AS180"/>
    <mergeCell ref="AT178:AT180"/>
    <mergeCell ref="AV178:AV180"/>
    <mergeCell ref="AE178:AE180"/>
    <mergeCell ref="AF178:AF180"/>
    <mergeCell ref="AH178:AH180"/>
    <mergeCell ref="AI178:AI180"/>
    <mergeCell ref="AK178:AK180"/>
    <mergeCell ref="AM178:AM180"/>
    <mergeCell ref="BY178:BY180"/>
    <mergeCell ref="AW178:AW180"/>
    <mergeCell ref="AY178:AY180"/>
    <mergeCell ref="BA178:BA180"/>
    <mergeCell ref="BB178:BB180"/>
    <mergeCell ref="BD178:BD180"/>
    <mergeCell ref="BE178:BE180"/>
    <mergeCell ref="CA178:CA180"/>
    <mergeCell ref="BP178:BP180"/>
    <mergeCell ref="BR178:BR180"/>
    <mergeCell ref="BS178:BS180"/>
    <mergeCell ref="BU178:BU180"/>
    <mergeCell ref="BV178:BV180"/>
    <mergeCell ref="BX178:BX180"/>
    <mergeCell ref="BG178:BG180"/>
    <mergeCell ref="BH178:BH180"/>
    <mergeCell ref="BJ178:BJ180"/>
    <mergeCell ref="BK178:BK180"/>
    <mergeCell ref="BM178:BM180"/>
    <mergeCell ref="BO178:BO180"/>
    <mergeCell ref="BU181:BU183"/>
    <mergeCell ref="BV181:BV183"/>
    <mergeCell ref="BX181:BX183"/>
    <mergeCell ref="BY181:BY183"/>
    <mergeCell ref="BH181:BH183"/>
    <mergeCell ref="BJ181:BJ183"/>
    <mergeCell ref="BK181:BK183"/>
    <mergeCell ref="BO181:BO183"/>
    <mergeCell ref="BP181:BP183"/>
    <mergeCell ref="BR181:BR183"/>
    <mergeCell ref="BS181:BS183"/>
    <mergeCell ref="AW181:AW183"/>
    <mergeCell ref="BA181:BA183"/>
    <mergeCell ref="BB181:BB183"/>
    <mergeCell ref="BD181:BD183"/>
    <mergeCell ref="BE181:BE183"/>
    <mergeCell ref="BG181:BG183"/>
    <mergeCell ref="AN181:AN183"/>
    <mergeCell ref="AP181:AP183"/>
    <mergeCell ref="AQ181:AQ183"/>
    <mergeCell ref="AS181:AS183"/>
    <mergeCell ref="AT181:AT183"/>
    <mergeCell ref="AV181:AV183"/>
    <mergeCell ref="AC181:AC183"/>
    <mergeCell ref="AE181:AE183"/>
    <mergeCell ref="AF181:AF183"/>
    <mergeCell ref="AH181:AH183"/>
    <mergeCell ref="AI181:AI183"/>
    <mergeCell ref="AM181:AM183"/>
    <mergeCell ref="Y181:Y183"/>
    <mergeCell ref="Z181:Z183"/>
    <mergeCell ref="AB181:AB183"/>
    <mergeCell ref="BO184:BO186"/>
    <mergeCell ref="BP184:BP186"/>
    <mergeCell ref="BR184:BR186"/>
    <mergeCell ref="BS184:BS186"/>
    <mergeCell ref="BU184:BU186"/>
    <mergeCell ref="BV184:BV186"/>
    <mergeCell ref="BD184:BD186"/>
    <mergeCell ref="BE184:BE186"/>
    <mergeCell ref="BG184:BG186"/>
    <mergeCell ref="BH184:BH186"/>
    <mergeCell ref="BJ184:BJ186"/>
    <mergeCell ref="BK184:BK186"/>
    <mergeCell ref="AS184:AS186"/>
    <mergeCell ref="AT184:AT186"/>
    <mergeCell ref="AV184:AV186"/>
    <mergeCell ref="AW184:AW186"/>
    <mergeCell ref="BA184:BA186"/>
    <mergeCell ref="BB184:BB186"/>
    <mergeCell ref="W212:W214"/>
    <mergeCell ref="AM212:AM214"/>
    <mergeCell ref="AH184:AH186"/>
    <mergeCell ref="AI184:AI186"/>
    <mergeCell ref="Y184:Y186"/>
    <mergeCell ref="Z184:Z186"/>
    <mergeCell ref="AB184:AB186"/>
    <mergeCell ref="AC184:AC186"/>
    <mergeCell ref="AE184:AE186"/>
    <mergeCell ref="AF184:AF186"/>
    <mergeCell ref="BX184:BX186"/>
    <mergeCell ref="BY184:BY186"/>
    <mergeCell ref="AM184:AM186"/>
    <mergeCell ref="AN184:AN186"/>
    <mergeCell ref="AP184:AP186"/>
    <mergeCell ref="AQ184:AQ186"/>
    <mergeCell ref="CA212:CA214"/>
    <mergeCell ref="BJ212:BJ214"/>
    <mergeCell ref="BK212:BK214"/>
    <mergeCell ref="BM212:BM214"/>
    <mergeCell ref="BO212:BO214"/>
    <mergeCell ref="BP212:BP214"/>
    <mergeCell ref="BR212:BR214"/>
    <mergeCell ref="BS212:BS214"/>
    <mergeCell ref="AN212:AN214"/>
    <mergeCell ref="AP212:AP214"/>
    <mergeCell ref="BU212:BU214"/>
    <mergeCell ref="BA212:BA214"/>
    <mergeCell ref="BB212:BB214"/>
    <mergeCell ref="BD212:BD214"/>
    <mergeCell ref="BE212:BE214"/>
    <mergeCell ref="BG212:BG214"/>
    <mergeCell ref="BH212:BH214"/>
    <mergeCell ref="AQ212:AQ214"/>
    <mergeCell ref="BV212:BV214"/>
    <mergeCell ref="BX212:BX214"/>
    <mergeCell ref="BY212:BY214"/>
    <mergeCell ref="Y212:Y214"/>
    <mergeCell ref="Z212:Z214"/>
    <mergeCell ref="AB212:AB214"/>
    <mergeCell ref="AC212:AC214"/>
    <mergeCell ref="AE212:AE214"/>
    <mergeCell ref="AF212:AF214"/>
    <mergeCell ref="AH212:AH214"/>
    <mergeCell ref="AI212:AI214"/>
    <mergeCell ref="AK212:AK214"/>
    <mergeCell ref="AS212:AS214"/>
    <mergeCell ref="AT212:AT214"/>
    <mergeCell ref="AV212:AV214"/>
    <mergeCell ref="AW212:AW214"/>
    <mergeCell ref="AY212:AY214"/>
    <mergeCell ref="E101:E102"/>
    <mergeCell ref="C96:C102"/>
    <mergeCell ref="E75:E93"/>
    <mergeCell ref="C75:C94"/>
    <mergeCell ref="I83:I86"/>
    <mergeCell ref="L83:L86"/>
    <mergeCell ref="M83:M86"/>
    <mergeCell ref="H83:H86"/>
    <mergeCell ref="H88:H90"/>
    <mergeCell ref="D101:D102"/>
    <mergeCell ref="D75:D77"/>
    <mergeCell ref="E96:E100"/>
    <mergeCell ref="N83:N86"/>
    <mergeCell ref="Q83:Q86"/>
    <mergeCell ref="R83:R86"/>
    <mergeCell ref="U83:U86"/>
    <mergeCell ref="V83:V86"/>
    <mergeCell ref="I88:I90"/>
    <mergeCell ref="L88:L90"/>
    <mergeCell ref="M88:M90"/>
    <mergeCell ref="N88:N90"/>
    <mergeCell ref="Q88:Q90"/>
    <mergeCell ref="R88:R90"/>
    <mergeCell ref="U88:U90"/>
    <mergeCell ref="V88:V90"/>
    <mergeCell ref="P88:P90"/>
    <mergeCell ref="T88:T90"/>
    <mergeCell ref="P83:P86"/>
    <mergeCell ref="T83:T86"/>
    <mergeCell ref="J83:J86"/>
    <mergeCell ref="J88:J90"/>
  </mergeCells>
  <conditionalFormatting sqref="AB181:AB183 Y181:Y183 AE181:AE183 AH173:AH177 AH212:AH214 AP181:AP183 AM181:AM183 AS181:AS183 AV173:AV177 AV212:AV214 BD181:BD183 BA181:BA183 BG181:BG183 BJ173:BJ177 BJ212:BJ214 BR181:BR183 BO181:BO183 BU181:BU183 BX173:BX177 BX212:BX214 AH114:AH171 AB114:AB171 Y114:Y171 AE114:AE171 AV114:AV171 AP114:AP171 AM114:AM171 AS114:AS171 BJ114:BJ171 BD114:BD171 BA114:BA171 BG114:BG171 BX114:BX171 BR114:BR171 BO114:BO171 BU114:BU171 AB38:AB64 Y38:Y64 AE38:AE64 AM38:AM64 AS38:AS64 BD38:BD64 BA38:BA64 BG38:BG64 BR38:BR64 BO38:BO64 BU38:BU64 AV38:AV64 AP16:AP64">
    <cfRule type="expression" dxfId="9645" priority="18158" stopIfTrue="1">
      <formula>AND(IF(Y16&gt;=#REF!,Y16&lt;&gt;"N/A"))</formula>
    </cfRule>
    <cfRule type="expression" dxfId="9644" priority="18159" stopIfTrue="1">
      <formula>AND(IF(Y16&lt;#REF!,Y16&gt;=#REF!,Y16&lt;&gt;"N/A"))</formula>
    </cfRule>
    <cfRule type="expression" dxfId="9643" priority="18160" stopIfTrue="1">
      <formula>AND(IF(Y16&lt;#REF!,Y16&lt;&gt;"N/A"))</formula>
    </cfRule>
  </conditionalFormatting>
  <conditionalFormatting sqref="H36 Y178:Y180 AE178:AE180 AH178:AH180 Y215 AE215 AH215 AM178:AM180 AS178:AS180 AV178:AV180 AM215 AS215 AV215 BA178:BA180 BG178:BG180 BJ178:BJ180 BA215 BG215 BJ215 BO178:BO180 BU178:BU180 BX178:BX180 BO215 BU215 BX215 Y16:Y37 AE16:AE37 AH16:AH37 AM16:AM37 AS16:AS37 AV16:AV37 BA16:BA37 BG16:BG37 BJ16:BJ37 BO16:BO37 BU16:BU37 BX16:BX37 AE108:AE113">
    <cfRule type="expression" dxfId="9642" priority="18161" stopIfTrue="1">
      <formula>AND(IF(H16&gt;=#REF!,H16&lt;&gt;"N/A"))</formula>
    </cfRule>
    <cfRule type="expression" dxfId="9641" priority="18162" stopIfTrue="1">
      <formula>AND(IF(H16&lt;#REF!,H16&gt;=#REF!,H16&lt;&gt;"N/A"))</formula>
    </cfRule>
    <cfRule type="expression" dxfId="9640" priority="18163" stopIfTrue="1">
      <formula>AND(IF(H16&lt;#REF!,H16&lt;&gt;"N/A"))</formula>
    </cfRule>
  </conditionalFormatting>
  <conditionalFormatting sqref="AE173:AE177 AB173:AB177 AS173:AS177 AP173:AP177 BG173:BG177 BD173:BD177 BU173:BU177 BR173:BR177">
    <cfRule type="expression" dxfId="9639" priority="18152" stopIfTrue="1">
      <formula>AND(IF(AB173&gt;=#REF!,AB173&lt;&gt;"N/A"))</formula>
    </cfRule>
    <cfRule type="expression" dxfId="9638" priority="18153" stopIfTrue="1">
      <formula>AND(IF(AB173&lt;#REF!,AB173&gt;=#REF!,AB173&lt;&gt;"N/A"))</formula>
    </cfRule>
    <cfRule type="expression" dxfId="9637" priority="18154" stopIfTrue="1">
      <formula>AND(IF(AB173&lt;#REF!,AB173&lt;&gt;"N/A"))</formula>
    </cfRule>
  </conditionalFormatting>
  <conditionalFormatting sqref="AH108:AH113 AH38:AH64">
    <cfRule type="expression" dxfId="9636" priority="18101" stopIfTrue="1">
      <formula>AND(IF(AH38&gt;=#REF!,AH38&lt;&gt;"N/A"))</formula>
    </cfRule>
    <cfRule type="expression" dxfId="9635" priority="18102" stopIfTrue="1">
      <formula>AND(IF(AH38&lt;#REF!,AH38&gt;=#REF!,AH38&lt;&gt;"N/A"))</formula>
    </cfRule>
    <cfRule type="expression" dxfId="9634" priority="18103" stopIfTrue="1">
      <formula>AND(IF(AH38&lt;#REF!,AH38&lt;&gt;"N/A"))</formula>
    </cfRule>
  </conditionalFormatting>
  <conditionalFormatting sqref="AB16:AB37 Y108:Y113">
    <cfRule type="expression" dxfId="9633" priority="18104" stopIfTrue="1">
      <formula>AND(IF(Y16&gt;=#REF!,Y16&lt;&gt;"N/A"))</formula>
    </cfRule>
    <cfRule type="expression" dxfId="9632" priority="18105" stopIfTrue="1">
      <formula>AND(IF(Y16&lt;#REF!,Y16&gt;=#REF!,Y16&lt;&gt;"N/A"))</formula>
    </cfRule>
    <cfRule type="expression" dxfId="9631" priority="18106" stopIfTrue="1">
      <formula>AND(IF(Y16&lt;#REF!,Y16&lt;&gt;"N/A"))</formula>
    </cfRule>
  </conditionalFormatting>
  <conditionalFormatting sqref="Y15">
    <cfRule type="expression" dxfId="9630" priority="18107" stopIfTrue="1">
      <formula>AND(IF(Y15&gt;=#REF!,Y15&lt;&gt;"N/A"))</formula>
    </cfRule>
    <cfRule type="expression" dxfId="9629" priority="18108" stopIfTrue="1">
      <formula>AND(IF(Y15&lt;#REF!,Y15&gt;=#REF!,Y15&lt;&gt;"N/A"))</formula>
    </cfRule>
    <cfRule type="expression" dxfId="9628" priority="18109" stopIfTrue="1">
      <formula>AND(IF(Y15&lt;#REF!,Y15&lt;&gt;"N/A"))</formula>
    </cfRule>
  </conditionalFormatting>
  <conditionalFormatting sqref="AH181:AH183 Y184:Y210 AB108:AB113">
    <cfRule type="expression" dxfId="9627" priority="18089" stopIfTrue="1">
      <formula>AND(IF(Y108&gt;=#REF!,Y108&lt;&gt;"N/A"))</formula>
    </cfRule>
    <cfRule type="expression" dxfId="9626" priority="18090" stopIfTrue="1">
      <formula>AND(IF(Y108&lt;#REF!,Y108&gt;=#REF!,Y108&lt;&gt;"N/A"))</formula>
    </cfRule>
    <cfRule type="expression" dxfId="9625" priority="18091" stopIfTrue="1">
      <formula>AND(IF(Y108&lt;#REF!,Y108&lt;&gt;"N/A"))</formula>
    </cfRule>
  </conditionalFormatting>
  <conditionalFormatting sqref="AB178:AB180">
    <cfRule type="expression" dxfId="9624" priority="18092" stopIfTrue="1">
      <formula>AND(IF(AB178&gt;=#REF!,AB178&lt;&gt;"N/A"))</formula>
    </cfRule>
    <cfRule type="expression" dxfId="9623" priority="18093" stopIfTrue="1">
      <formula>AND(IF(AB178&lt;#REF!,AB178&gt;=#REF!,AB178&lt;&gt;"N/A"))</formula>
    </cfRule>
    <cfRule type="expression" dxfId="9622" priority="18094" stopIfTrue="1">
      <formula>AND(IF(AB178&lt;#REF!,AB178&lt;&gt;"N/A"))</formula>
    </cfRule>
  </conditionalFormatting>
  <conditionalFormatting sqref="Y173:Y177">
    <cfRule type="expression" dxfId="9621" priority="18095" stopIfTrue="1">
      <formula>AND(IF(Y173&gt;=#REF!,Y173&lt;&gt;"N/A"))</formula>
    </cfRule>
    <cfRule type="expression" dxfId="9620" priority="18096" stopIfTrue="1">
      <formula>AND(IF(Y173&lt;#REF!,Y173&gt;=#REF!,Y173&lt;&gt;"N/A"))</formula>
    </cfRule>
    <cfRule type="expression" dxfId="9619" priority="18097" stopIfTrue="1">
      <formula>AND(IF(Y173&lt;#REF!,Y173&lt;&gt;"N/A"))</formula>
    </cfRule>
  </conditionalFormatting>
  <conditionalFormatting sqref="AB215">
    <cfRule type="expression" dxfId="9618" priority="18083" stopIfTrue="1">
      <formula>AND(IF(AB215&gt;=#REF!,AB215&lt;&gt;"N/A"))</formula>
    </cfRule>
    <cfRule type="expression" dxfId="9617" priority="18084" stopIfTrue="1">
      <formula>AND(IF(AB215&lt;#REF!,AB215&gt;=#REF!,AB215&lt;&gt;"N/A"))</formula>
    </cfRule>
    <cfRule type="expression" dxfId="9616" priority="18085" stopIfTrue="1">
      <formula>AND(IF(AB215&lt;#REF!,AB215&lt;&gt;"N/A"))</formula>
    </cfRule>
  </conditionalFormatting>
  <conditionalFormatting sqref="Y212:Y214">
    <cfRule type="expression" dxfId="9615" priority="18086" stopIfTrue="1">
      <formula>AND(IF(Y212&gt;=#REF!,Y212&lt;&gt;"N/A"))</formula>
    </cfRule>
    <cfRule type="expression" dxfId="9614" priority="18087" stopIfTrue="1">
      <formula>AND(IF(Y212&lt;#REF!,Y212&gt;=#REF!,Y212&lt;&gt;"N/A"))</formula>
    </cfRule>
    <cfRule type="expression" dxfId="9613" priority="18088" stopIfTrue="1">
      <formula>AND(IF(Y212&lt;#REF!,Y212&lt;&gt;"N/A"))</formula>
    </cfRule>
  </conditionalFormatting>
  <conditionalFormatting sqref="Y105:Y107">
    <cfRule type="expression" dxfId="9612" priority="18077" stopIfTrue="1">
      <formula>AND(IF(Y105&gt;=#REF!,Y105&lt;&gt;"N/A"))</formula>
    </cfRule>
    <cfRule type="expression" dxfId="9611" priority="18078" stopIfTrue="1">
      <formula>AND(IF(Y105&lt;#REF!,Y105&gt;=#REF!,Y105&lt;&gt;"N/A"))</formula>
    </cfRule>
    <cfRule type="expression" dxfId="9610" priority="18079" stopIfTrue="1">
      <formula>AND(IF(Y105&lt;#REF!,Y105&lt;&gt;"N/A"))</formula>
    </cfRule>
  </conditionalFormatting>
  <conditionalFormatting sqref="AH15">
    <cfRule type="expression" dxfId="9609" priority="18074" stopIfTrue="1">
      <formula>AND(IF(AH15&gt;=#REF!,AH15&lt;&gt;"N/A"))</formula>
    </cfRule>
    <cfRule type="expression" dxfId="9608" priority="18075" stopIfTrue="1">
      <formula>AND(IF(AH15&lt;#REF!,AH15&gt;=#REF!,AH15&lt;&gt;"N/A"))</formula>
    </cfRule>
    <cfRule type="expression" dxfId="9607" priority="18076" stopIfTrue="1">
      <formula>AND(IF(AH15&lt;#REF!,AH15&lt;&gt;"N/A"))</formula>
    </cfRule>
  </conditionalFormatting>
  <conditionalFormatting sqref="AB105:AB107">
    <cfRule type="expression" dxfId="9606" priority="18071" stopIfTrue="1">
      <formula>AND(IF(AB105&gt;=#REF!,AB105&lt;&gt;"N/A"))</formula>
    </cfRule>
    <cfRule type="expression" dxfId="9605" priority="18072" stopIfTrue="1">
      <formula>AND(IF(AB105&lt;#REF!,AB105&gt;=#REF!,AB105&lt;&gt;"N/A"))</formula>
    </cfRule>
    <cfRule type="expression" dxfId="9604" priority="18073" stopIfTrue="1">
      <formula>AND(IF(AB105&lt;#REF!,AB105&lt;&gt;"N/A"))</formula>
    </cfRule>
  </conditionalFormatting>
  <conditionalFormatting sqref="AE105:AE107">
    <cfRule type="expression" dxfId="9603" priority="18068" stopIfTrue="1">
      <formula>AND(IF(AE105&gt;=#REF!,AE105&lt;&gt;"N/A"))</formula>
    </cfRule>
    <cfRule type="expression" dxfId="9602" priority="18069" stopIfTrue="1">
      <formula>AND(IF(AE105&lt;#REF!,AE105&gt;=#REF!,AE105&lt;&gt;"N/A"))</formula>
    </cfRule>
    <cfRule type="expression" dxfId="9601" priority="18070" stopIfTrue="1">
      <formula>AND(IF(AE105&lt;#REF!,AE105&lt;&gt;"N/A"))</formula>
    </cfRule>
  </conditionalFormatting>
  <conditionalFormatting sqref="AH105:AH107">
    <cfRule type="expression" dxfId="9600" priority="18065" stopIfTrue="1">
      <formula>AND(IF(AH105&gt;=#REF!,AH105&lt;&gt;"N/A"))</formula>
    </cfRule>
    <cfRule type="expression" dxfId="9599" priority="18066" stopIfTrue="1">
      <formula>AND(IF(AH105&lt;#REF!,AH105&gt;=#REF!,AH105&lt;&gt;"N/A"))</formula>
    </cfRule>
    <cfRule type="expression" dxfId="9598" priority="18067" stopIfTrue="1">
      <formula>AND(IF(AH105&lt;#REF!,AH105&lt;&gt;"N/A"))</formula>
    </cfRule>
  </conditionalFormatting>
  <conditionalFormatting sqref="AM15">
    <cfRule type="expression" dxfId="9597" priority="18050" stopIfTrue="1">
      <formula>AND(IF(AM15&gt;=#REF!,AM15&lt;&gt;"N/A"))</formula>
    </cfRule>
    <cfRule type="expression" dxfId="9596" priority="18051" stopIfTrue="1">
      <formula>AND(IF(AM15&lt;#REF!,AM15&gt;=#REF!,AM15&lt;&gt;"N/A"))</formula>
    </cfRule>
    <cfRule type="expression" dxfId="9595" priority="18052" stopIfTrue="1">
      <formula>AND(IF(AM15&lt;#REF!,AM15&lt;&gt;"N/A"))</formula>
    </cfRule>
  </conditionalFormatting>
  <conditionalFormatting sqref="AV181:AV183 AM184:AM210 AP108:AP113">
    <cfRule type="expression" dxfId="9594" priority="18032" stopIfTrue="1">
      <formula>AND(IF(AM108&gt;=#REF!,AM108&lt;&gt;"N/A"))</formula>
    </cfRule>
    <cfRule type="expression" dxfId="9593" priority="18033" stopIfTrue="1">
      <formula>AND(IF(AM108&lt;#REF!,AM108&gt;=#REF!,AM108&lt;&gt;"N/A"))</formula>
    </cfRule>
    <cfRule type="expression" dxfId="9592" priority="18034" stopIfTrue="1">
      <formula>AND(IF(AM108&lt;#REF!,AM108&lt;&gt;"N/A"))</formula>
    </cfRule>
  </conditionalFormatting>
  <conditionalFormatting sqref="AP178:AP180 BD16:BD37 AM108:AM113 BJ38:BJ64 BX38:BX64">
    <cfRule type="expression" dxfId="9591" priority="18035" stopIfTrue="1">
      <formula>AND(IF(AM16&gt;=#REF!,AM16&lt;&gt;"N/A"))</formula>
    </cfRule>
    <cfRule type="expression" dxfId="9590" priority="18036" stopIfTrue="1">
      <formula>AND(IF(AM16&lt;#REF!,AM16&gt;=#REF!,AM16&lt;&gt;"N/A"))</formula>
    </cfRule>
    <cfRule type="expression" dxfId="9589" priority="18037" stopIfTrue="1">
      <formula>AND(IF(AM16&lt;#REF!,AM16&lt;&gt;"N/A"))</formula>
    </cfRule>
  </conditionalFormatting>
  <conditionalFormatting sqref="AM173:AM177 AS108:AS113">
    <cfRule type="expression" dxfId="9588" priority="18038" stopIfTrue="1">
      <formula>AND(IF(AM108&gt;=#REF!,AM108&lt;&gt;"N/A"))</formula>
    </cfRule>
    <cfRule type="expression" dxfId="9587" priority="18039" stopIfTrue="1">
      <formula>AND(IF(AM108&lt;#REF!,AM108&gt;=#REF!,AM108&lt;&gt;"N/A"))</formula>
    </cfRule>
    <cfRule type="expression" dxfId="9586" priority="18040" stopIfTrue="1">
      <formula>AND(IF(AM108&lt;#REF!,AM108&lt;&gt;"N/A"))</formula>
    </cfRule>
  </conditionalFormatting>
  <conditionalFormatting sqref="AP215">
    <cfRule type="expression" dxfId="9585" priority="18026" stopIfTrue="1">
      <formula>AND(IF(AP215&gt;=#REF!,AP215&lt;&gt;"N/A"))</formula>
    </cfRule>
    <cfRule type="expression" dxfId="9584" priority="18027" stopIfTrue="1">
      <formula>AND(IF(AP215&lt;#REF!,AP215&gt;=#REF!,AP215&lt;&gt;"N/A"))</formula>
    </cfRule>
    <cfRule type="expression" dxfId="9583" priority="18028" stopIfTrue="1">
      <formula>AND(IF(AP215&lt;#REF!,AP215&lt;&gt;"N/A"))</formula>
    </cfRule>
  </conditionalFormatting>
  <conditionalFormatting sqref="AM212:AM214">
    <cfRule type="expression" dxfId="9582" priority="18029" stopIfTrue="1">
      <formula>AND(IF(AM212&gt;=#REF!,AM212&lt;&gt;"N/A"))</formula>
    </cfRule>
    <cfRule type="expression" dxfId="9581" priority="18030" stopIfTrue="1">
      <formula>AND(IF(AM212&lt;#REF!,AM212&gt;=#REF!,AM212&lt;&gt;"N/A"))</formula>
    </cfRule>
    <cfRule type="expression" dxfId="9580" priority="18031" stopIfTrue="1">
      <formula>AND(IF(AM212&lt;#REF!,AM212&lt;&gt;"N/A"))</formula>
    </cfRule>
  </conditionalFormatting>
  <conditionalFormatting sqref="AM105:AM107">
    <cfRule type="expression" dxfId="9579" priority="18020" stopIfTrue="1">
      <formula>AND(IF(AM105&gt;=#REF!,AM105&lt;&gt;"N/A"))</formula>
    </cfRule>
    <cfRule type="expression" dxfId="9578" priority="18021" stopIfTrue="1">
      <formula>AND(IF(AM105&lt;#REF!,AM105&gt;=#REF!,AM105&lt;&gt;"N/A"))</formula>
    </cfRule>
    <cfRule type="expression" dxfId="9577" priority="18022" stopIfTrue="1">
      <formula>AND(IF(AM105&lt;#REF!,AM105&lt;&gt;"N/A"))</formula>
    </cfRule>
  </conditionalFormatting>
  <conditionalFormatting sqref="AV15">
    <cfRule type="expression" dxfId="9576" priority="18017" stopIfTrue="1">
      <formula>AND(IF(AV15&gt;=#REF!,AV15&lt;&gt;"N/A"))</formula>
    </cfRule>
    <cfRule type="expression" dxfId="9575" priority="18018" stopIfTrue="1">
      <formula>AND(IF(AV15&lt;#REF!,AV15&gt;=#REF!,AV15&lt;&gt;"N/A"))</formula>
    </cfRule>
    <cfRule type="expression" dxfId="9574" priority="18019" stopIfTrue="1">
      <formula>AND(IF(AV15&lt;#REF!,AV15&lt;&gt;"N/A"))</formula>
    </cfRule>
  </conditionalFormatting>
  <conditionalFormatting sqref="AP105:AP107">
    <cfRule type="expression" dxfId="9573" priority="18014" stopIfTrue="1">
      <formula>AND(IF(AP105&gt;=#REF!,AP105&lt;&gt;"N/A"))</formula>
    </cfRule>
    <cfRule type="expression" dxfId="9572" priority="18015" stopIfTrue="1">
      <formula>AND(IF(AP105&lt;#REF!,AP105&gt;=#REF!,AP105&lt;&gt;"N/A"))</formula>
    </cfRule>
    <cfRule type="expression" dxfId="9571" priority="18016" stopIfTrue="1">
      <formula>AND(IF(AP105&lt;#REF!,AP105&lt;&gt;"N/A"))</formula>
    </cfRule>
  </conditionalFormatting>
  <conditionalFormatting sqref="AS105:AS107">
    <cfRule type="expression" dxfId="9570" priority="18011" stopIfTrue="1">
      <formula>AND(IF(AS105&gt;=#REF!,AS105&lt;&gt;"N/A"))</formula>
    </cfRule>
    <cfRule type="expression" dxfId="9569" priority="18012" stopIfTrue="1">
      <formula>AND(IF(AS105&lt;#REF!,AS105&gt;=#REF!,AS105&lt;&gt;"N/A"))</formula>
    </cfRule>
    <cfRule type="expression" dxfId="9568" priority="18013" stopIfTrue="1">
      <formula>AND(IF(AS105&lt;#REF!,AS105&lt;&gt;"N/A"))</formula>
    </cfRule>
  </conditionalFormatting>
  <conditionalFormatting sqref="AV105:AV113">
    <cfRule type="expression" dxfId="9567" priority="18008" stopIfTrue="1">
      <formula>AND(IF(AV105&gt;=#REF!,AV105&lt;&gt;"N/A"))</formula>
    </cfRule>
    <cfRule type="expression" dxfId="9566" priority="18009" stopIfTrue="1">
      <formula>AND(IF(AV105&lt;#REF!,AV105&gt;=#REF!,AV105&lt;&gt;"N/A"))</formula>
    </cfRule>
    <cfRule type="expression" dxfId="9565" priority="18010" stopIfTrue="1">
      <formula>AND(IF(AV105&lt;#REF!,AV105&lt;&gt;"N/A"))</formula>
    </cfRule>
  </conditionalFormatting>
  <conditionalFormatting sqref="BA15 BO108:BO113">
    <cfRule type="expression" dxfId="9564" priority="17993" stopIfTrue="1">
      <formula>AND(IF(BA15&gt;=#REF!,BA15&lt;&gt;"N/A"))</formula>
    </cfRule>
    <cfRule type="expression" dxfId="9563" priority="17994" stopIfTrue="1">
      <formula>AND(IF(BA15&lt;#REF!,BA15&gt;=#REF!,BA15&lt;&gt;"N/A"))</formula>
    </cfRule>
    <cfRule type="expression" dxfId="9562" priority="17995" stopIfTrue="1">
      <formula>AND(IF(BA15&lt;#REF!,BA15&lt;&gt;"N/A"))</formula>
    </cfRule>
  </conditionalFormatting>
  <conditionalFormatting sqref="BJ181:BJ183 BA184:BA210 BD108:BD113">
    <cfRule type="expression" dxfId="9561" priority="17975" stopIfTrue="1">
      <formula>AND(IF(BA108&gt;=#REF!,BA108&lt;&gt;"N/A"))</formula>
    </cfRule>
    <cfRule type="expression" dxfId="9560" priority="17976" stopIfTrue="1">
      <formula>AND(IF(BA108&lt;#REF!,BA108&gt;=#REF!,BA108&lt;&gt;"N/A"))</formula>
    </cfRule>
    <cfRule type="expression" dxfId="9559" priority="17977" stopIfTrue="1">
      <formula>AND(IF(BA108&lt;#REF!,BA108&lt;&gt;"N/A"))</formula>
    </cfRule>
  </conditionalFormatting>
  <conditionalFormatting sqref="BD178:BD180 BR16:BR37 BA108:BA113">
    <cfRule type="expression" dxfId="9558" priority="17978" stopIfTrue="1">
      <formula>AND(IF(BA16&gt;=#REF!,BA16&lt;&gt;"N/A"))</formula>
    </cfRule>
    <cfRule type="expression" dxfId="9557" priority="17979" stopIfTrue="1">
      <formula>AND(IF(BA16&lt;#REF!,BA16&gt;=#REF!,BA16&lt;&gt;"N/A"))</formula>
    </cfRule>
    <cfRule type="expression" dxfId="9556" priority="17980" stopIfTrue="1">
      <formula>AND(IF(BA16&lt;#REF!,BA16&lt;&gt;"N/A"))</formula>
    </cfRule>
  </conditionalFormatting>
  <conditionalFormatting sqref="BA173:BA177 BG108:BG113">
    <cfRule type="expression" dxfId="9555" priority="17981" stopIfTrue="1">
      <formula>AND(IF(BA108&gt;=#REF!,BA108&lt;&gt;"N/A"))</formula>
    </cfRule>
    <cfRule type="expression" dxfId="9554" priority="17982" stopIfTrue="1">
      <formula>AND(IF(BA108&lt;#REF!,BA108&gt;=#REF!,BA108&lt;&gt;"N/A"))</formula>
    </cfRule>
    <cfRule type="expression" dxfId="9553" priority="17983" stopIfTrue="1">
      <formula>AND(IF(BA108&lt;#REF!,BA108&lt;&gt;"N/A"))</formula>
    </cfRule>
  </conditionalFormatting>
  <conditionalFormatting sqref="BD215">
    <cfRule type="expression" dxfId="9552" priority="17969" stopIfTrue="1">
      <formula>AND(IF(BD215&gt;=#REF!,BD215&lt;&gt;"N/A"))</formula>
    </cfRule>
    <cfRule type="expression" dxfId="9551" priority="17970" stopIfTrue="1">
      <formula>AND(IF(BD215&lt;#REF!,BD215&gt;=#REF!,BD215&lt;&gt;"N/A"))</formula>
    </cfRule>
    <cfRule type="expression" dxfId="9550" priority="17971" stopIfTrue="1">
      <formula>AND(IF(BD215&lt;#REF!,BD215&lt;&gt;"N/A"))</formula>
    </cfRule>
  </conditionalFormatting>
  <conditionalFormatting sqref="BA212:BA214">
    <cfRule type="expression" dxfId="9549" priority="17972" stopIfTrue="1">
      <formula>AND(IF(BA212&gt;=#REF!,BA212&lt;&gt;"N/A"))</formula>
    </cfRule>
    <cfRule type="expression" dxfId="9548" priority="17973" stopIfTrue="1">
      <formula>AND(IF(BA212&lt;#REF!,BA212&gt;=#REF!,BA212&lt;&gt;"N/A"))</formula>
    </cfRule>
    <cfRule type="expression" dxfId="9547" priority="17974" stopIfTrue="1">
      <formula>AND(IF(BA212&lt;#REF!,BA212&lt;&gt;"N/A"))</formula>
    </cfRule>
  </conditionalFormatting>
  <conditionalFormatting sqref="BA105:BA107">
    <cfRule type="expression" dxfId="9546" priority="17963" stopIfTrue="1">
      <formula>AND(IF(BA105&gt;=#REF!,BA105&lt;&gt;"N/A"))</formula>
    </cfRule>
    <cfRule type="expression" dxfId="9545" priority="17964" stopIfTrue="1">
      <formula>AND(IF(BA105&lt;#REF!,BA105&gt;=#REF!,BA105&lt;&gt;"N/A"))</formula>
    </cfRule>
    <cfRule type="expression" dxfId="9544" priority="17965" stopIfTrue="1">
      <formula>AND(IF(BA105&lt;#REF!,BA105&lt;&gt;"N/A"))</formula>
    </cfRule>
  </conditionalFormatting>
  <conditionalFormatting sqref="BJ15">
    <cfRule type="expression" dxfId="9543" priority="17960" stopIfTrue="1">
      <formula>AND(IF(BJ15&gt;=#REF!,BJ15&lt;&gt;"N/A"))</formula>
    </cfRule>
    <cfRule type="expression" dxfId="9542" priority="17961" stopIfTrue="1">
      <formula>AND(IF(BJ15&lt;#REF!,BJ15&gt;=#REF!,BJ15&lt;&gt;"N/A"))</formula>
    </cfRule>
    <cfRule type="expression" dxfId="9541" priority="17962" stopIfTrue="1">
      <formula>AND(IF(BJ15&lt;#REF!,BJ15&lt;&gt;"N/A"))</formula>
    </cfRule>
  </conditionalFormatting>
  <conditionalFormatting sqref="BD105:BD107">
    <cfRule type="expression" dxfId="9540" priority="17957" stopIfTrue="1">
      <formula>AND(IF(BD105&gt;=#REF!,BD105&lt;&gt;"N/A"))</formula>
    </cfRule>
    <cfRule type="expression" dxfId="9539" priority="17958" stopIfTrue="1">
      <formula>AND(IF(BD105&lt;#REF!,BD105&gt;=#REF!,BD105&lt;&gt;"N/A"))</formula>
    </cfRule>
    <cfRule type="expression" dxfId="9538" priority="17959" stopIfTrue="1">
      <formula>AND(IF(BD105&lt;#REF!,BD105&lt;&gt;"N/A"))</formula>
    </cfRule>
  </conditionalFormatting>
  <conditionalFormatting sqref="BG105:BG107">
    <cfRule type="expression" dxfId="9537" priority="17954" stopIfTrue="1">
      <formula>AND(IF(BG105&gt;=#REF!,BG105&lt;&gt;"N/A"))</formula>
    </cfRule>
    <cfRule type="expression" dxfId="9536" priority="17955" stopIfTrue="1">
      <formula>AND(IF(BG105&lt;#REF!,BG105&gt;=#REF!,BG105&lt;&gt;"N/A"))</formula>
    </cfRule>
    <cfRule type="expression" dxfId="9535" priority="17956" stopIfTrue="1">
      <formula>AND(IF(BG105&lt;#REF!,BG105&lt;&gt;"N/A"))</formula>
    </cfRule>
  </conditionalFormatting>
  <conditionalFormatting sqref="BJ105:BJ113">
    <cfRule type="expression" dxfId="9534" priority="17951" stopIfTrue="1">
      <formula>AND(IF(BJ105&gt;=#REF!,BJ105&lt;&gt;"N/A"))</formula>
    </cfRule>
    <cfRule type="expression" dxfId="9533" priority="17952" stopIfTrue="1">
      <formula>AND(IF(BJ105&lt;#REF!,BJ105&gt;=#REF!,BJ105&lt;&gt;"N/A"))</formula>
    </cfRule>
    <cfRule type="expression" dxfId="9532" priority="17953" stopIfTrue="1">
      <formula>AND(IF(BJ105&lt;#REF!,BJ105&lt;&gt;"N/A"))</formula>
    </cfRule>
  </conditionalFormatting>
  <conditionalFormatting sqref="BO15">
    <cfRule type="expression" dxfId="9531" priority="17936" stopIfTrue="1">
      <formula>AND(IF(BO15&gt;=#REF!,BO15&lt;&gt;"N/A"))</formula>
    </cfRule>
    <cfRule type="expression" dxfId="9530" priority="17937" stopIfTrue="1">
      <formula>AND(IF(BO15&lt;#REF!,BO15&gt;=#REF!,BO15&lt;&gt;"N/A"))</formula>
    </cfRule>
    <cfRule type="expression" dxfId="9529" priority="17938" stopIfTrue="1">
      <formula>AND(IF(BO15&lt;#REF!,BO15&lt;&gt;"N/A"))</formula>
    </cfRule>
  </conditionalFormatting>
  <conditionalFormatting sqref="BX181:BX183 BO184:BO210 BR108:BR113">
    <cfRule type="expression" dxfId="9528" priority="17918" stopIfTrue="1">
      <formula>AND(IF(BO108&gt;=#REF!,BO108&lt;&gt;"N/A"))</formula>
    </cfRule>
    <cfRule type="expression" dxfId="9527" priority="17919" stopIfTrue="1">
      <formula>AND(IF(BO108&lt;#REF!,BO108&gt;=#REF!,BO108&lt;&gt;"N/A"))</formula>
    </cfRule>
    <cfRule type="expression" dxfId="9526" priority="17920" stopIfTrue="1">
      <formula>AND(IF(BO108&lt;#REF!,BO108&lt;&gt;"N/A"))</formula>
    </cfRule>
  </conditionalFormatting>
  <conditionalFormatting sqref="BR178:BR180">
    <cfRule type="expression" dxfId="9525" priority="17921" stopIfTrue="1">
      <formula>AND(IF(BR178&gt;=#REF!,BR178&lt;&gt;"N/A"))</formula>
    </cfRule>
    <cfRule type="expression" dxfId="9524" priority="17922" stopIfTrue="1">
      <formula>AND(IF(BR178&lt;#REF!,BR178&gt;=#REF!,BR178&lt;&gt;"N/A"))</formula>
    </cfRule>
    <cfRule type="expression" dxfId="9523" priority="17923" stopIfTrue="1">
      <formula>AND(IF(BR178&lt;#REF!,BR178&lt;&gt;"N/A"))</formula>
    </cfRule>
  </conditionalFormatting>
  <conditionalFormatting sqref="BO173:BO177 BU108:BU113">
    <cfRule type="expression" dxfId="9522" priority="17924" stopIfTrue="1">
      <formula>AND(IF(BO108&gt;=#REF!,BO108&lt;&gt;"N/A"))</formula>
    </cfRule>
    <cfRule type="expression" dxfId="9521" priority="17925" stopIfTrue="1">
      <formula>AND(IF(BO108&lt;#REF!,BO108&gt;=#REF!,BO108&lt;&gt;"N/A"))</formula>
    </cfRule>
    <cfRule type="expression" dxfId="9520" priority="17926" stopIfTrue="1">
      <formula>AND(IF(BO108&lt;#REF!,BO108&lt;&gt;"N/A"))</formula>
    </cfRule>
  </conditionalFormatting>
  <conditionalFormatting sqref="BR215">
    <cfRule type="expression" dxfId="9519" priority="17912" stopIfTrue="1">
      <formula>AND(IF(BR215&gt;=#REF!,BR215&lt;&gt;"N/A"))</formula>
    </cfRule>
    <cfRule type="expression" dxfId="9518" priority="17913" stopIfTrue="1">
      <formula>AND(IF(BR215&lt;#REF!,BR215&gt;=#REF!,BR215&lt;&gt;"N/A"))</formula>
    </cfRule>
    <cfRule type="expression" dxfId="9517" priority="17914" stopIfTrue="1">
      <formula>AND(IF(BR215&lt;#REF!,BR215&lt;&gt;"N/A"))</formula>
    </cfRule>
  </conditionalFormatting>
  <conditionalFormatting sqref="BO212:BO214">
    <cfRule type="expression" dxfId="9516" priority="17915" stopIfTrue="1">
      <formula>AND(IF(BO212&gt;=#REF!,BO212&lt;&gt;"N/A"))</formula>
    </cfRule>
    <cfRule type="expression" dxfId="9515" priority="17916" stopIfTrue="1">
      <formula>AND(IF(BO212&lt;#REF!,BO212&gt;=#REF!,BO212&lt;&gt;"N/A"))</formula>
    </cfRule>
    <cfRule type="expression" dxfId="9514" priority="17917" stopIfTrue="1">
      <formula>AND(IF(BO212&lt;#REF!,BO212&lt;&gt;"N/A"))</formula>
    </cfRule>
  </conditionalFormatting>
  <conditionalFormatting sqref="BO105:BO107">
    <cfRule type="expression" dxfId="9513" priority="17906" stopIfTrue="1">
      <formula>AND(IF(BO105&gt;=#REF!,BO105&lt;&gt;"N/A"))</formula>
    </cfRule>
    <cfRule type="expression" dxfId="9512" priority="17907" stopIfTrue="1">
      <formula>AND(IF(BO105&lt;#REF!,BO105&gt;=#REF!,BO105&lt;&gt;"N/A"))</formula>
    </cfRule>
    <cfRule type="expression" dxfId="9511" priority="17908" stopIfTrue="1">
      <formula>AND(IF(BO105&lt;#REF!,BO105&lt;&gt;"N/A"))</formula>
    </cfRule>
  </conditionalFormatting>
  <conditionalFormatting sqref="BX15">
    <cfRule type="expression" dxfId="9510" priority="17903" stopIfTrue="1">
      <formula>AND(IF(BX15&gt;=#REF!,BX15&lt;&gt;"N/A"))</formula>
    </cfRule>
    <cfRule type="expression" dxfId="9509" priority="17904" stopIfTrue="1">
      <formula>AND(IF(BX15&lt;#REF!,BX15&gt;=#REF!,BX15&lt;&gt;"N/A"))</formula>
    </cfRule>
    <cfRule type="expression" dxfId="9508" priority="17905" stopIfTrue="1">
      <formula>AND(IF(BX15&lt;#REF!,BX15&lt;&gt;"N/A"))</formula>
    </cfRule>
  </conditionalFormatting>
  <conditionalFormatting sqref="BR105:BR107">
    <cfRule type="expression" dxfId="9507" priority="17900" stopIfTrue="1">
      <formula>AND(IF(BR105&gt;=#REF!,BR105&lt;&gt;"N/A"))</formula>
    </cfRule>
    <cfRule type="expression" dxfId="9506" priority="17901" stopIfTrue="1">
      <formula>AND(IF(BR105&lt;#REF!,BR105&gt;=#REF!,BR105&lt;&gt;"N/A"))</formula>
    </cfRule>
    <cfRule type="expression" dxfId="9505" priority="17902" stopIfTrue="1">
      <formula>AND(IF(BR105&lt;#REF!,BR105&lt;&gt;"N/A"))</formula>
    </cfRule>
  </conditionalFormatting>
  <conditionalFormatting sqref="BU105:BU107">
    <cfRule type="expression" dxfId="9504" priority="17897" stopIfTrue="1">
      <formula>AND(IF(BU105&gt;=#REF!,BU105&lt;&gt;"N/A"))</formula>
    </cfRule>
    <cfRule type="expression" dxfId="9503" priority="17898" stopIfTrue="1">
      <formula>AND(IF(BU105&lt;#REF!,BU105&gt;=#REF!,BU105&lt;&gt;"N/A"))</formula>
    </cfRule>
    <cfRule type="expression" dxfId="9502" priority="17899" stopIfTrue="1">
      <formula>AND(IF(BU105&lt;#REF!,BU105&lt;&gt;"N/A"))</formula>
    </cfRule>
  </conditionalFormatting>
  <conditionalFormatting sqref="BX105:BX113">
    <cfRule type="expression" dxfId="9501" priority="17894" stopIfTrue="1">
      <formula>AND(IF(BX105&gt;=#REF!,BX105&lt;&gt;"N/A"))</formula>
    </cfRule>
    <cfRule type="expression" dxfId="9500" priority="17895" stopIfTrue="1">
      <formula>AND(IF(BX105&lt;#REF!,BX105&gt;=#REF!,BX105&lt;&gt;"N/A"))</formula>
    </cfRule>
    <cfRule type="expression" dxfId="9499" priority="17896" stopIfTrue="1">
      <formula>AND(IF(BX105&lt;#REF!,BX105&lt;&gt;"N/A"))</formula>
    </cfRule>
  </conditionalFormatting>
  <conditionalFormatting sqref="T64">
    <cfRule type="expression" dxfId="9498" priority="16502" stopIfTrue="1">
      <formula>AND(IF(T64&gt;=#REF!,T64&lt;&gt;"N/A"))</formula>
    </cfRule>
    <cfRule type="expression" dxfId="9497" priority="16503" stopIfTrue="1">
      <formula>AND(IF(T64&lt;#REF!,T64&gt;=#REF!,T64&lt;&gt;"N/A"))</formula>
    </cfRule>
    <cfRule type="expression" dxfId="9496" priority="16504" stopIfTrue="1">
      <formula>AND(IF(T64&lt;#REF!,T64&lt;&gt;"N/A"))</formula>
    </cfRule>
  </conditionalFormatting>
  <conditionalFormatting sqref="P36">
    <cfRule type="expression" dxfId="9495" priority="16613" stopIfTrue="1">
      <formula>AND(IF(P36&gt;=#REF!,P36&lt;&gt;"N/A"))</formula>
    </cfRule>
    <cfRule type="expression" dxfId="9494" priority="16614" stopIfTrue="1">
      <formula>AND(IF(P36&lt;#REF!,P36&gt;=#REF!,P36&lt;&gt;"N/A"))</formula>
    </cfRule>
    <cfRule type="expression" dxfId="9493" priority="16615" stopIfTrue="1">
      <formula>AND(IF(P36&lt;#REF!,P36&lt;&gt;"N/A"))</formula>
    </cfRule>
  </conditionalFormatting>
  <conditionalFormatting sqref="P64">
    <cfRule type="expression" dxfId="9492" priority="16616" stopIfTrue="1">
      <formula>AND(IF(P64&gt;=#REF!,P64&lt;&gt;"N/A"))</formula>
    </cfRule>
    <cfRule type="expression" dxfId="9491" priority="16617" stopIfTrue="1">
      <formula>AND(IF(P64&lt;#REF!,P64&gt;=#REF!,P64&lt;&gt;"N/A"))</formula>
    </cfRule>
    <cfRule type="expression" dxfId="9490" priority="16618" stopIfTrue="1">
      <formula>AND(IF(P64&lt;#REF!,P64&lt;&gt;"N/A"))</formula>
    </cfRule>
  </conditionalFormatting>
  <conditionalFormatting sqref="T36">
    <cfRule type="expression" dxfId="9489" priority="16499" stopIfTrue="1">
      <formula>AND(IF(T36&gt;=#REF!,T36&lt;&gt;"N/A"))</formula>
    </cfRule>
    <cfRule type="expression" dxfId="9488" priority="16500" stopIfTrue="1">
      <formula>AND(IF(T36&lt;#REF!,T36&gt;=#REF!,T36&lt;&gt;"N/A"))</formula>
    </cfRule>
    <cfRule type="expression" dxfId="9487" priority="16501" stopIfTrue="1">
      <formula>AND(IF(T36&lt;#REF!,T36&lt;&gt;"N/A"))</formula>
    </cfRule>
  </conditionalFormatting>
  <conditionalFormatting sqref="L36">
    <cfRule type="expression" dxfId="9486" priority="15705" stopIfTrue="1">
      <formula>AND(IF(L36&gt;=#REF!,L36&lt;&gt;"N/A"))</formula>
    </cfRule>
    <cfRule type="expression" dxfId="9485" priority="15706" stopIfTrue="1">
      <formula>AND(IF(L36&lt;#REF!,L36&gt;=#REF!,L36&lt;&gt;"N/A"))</formula>
    </cfRule>
    <cfRule type="expression" dxfId="9484" priority="15707" stopIfTrue="1">
      <formula>AND(IF(L36&lt;#REF!,L36&lt;&gt;"N/A"))</formula>
    </cfRule>
  </conditionalFormatting>
  <conditionalFormatting sqref="I15:I23">
    <cfRule type="cellIs" dxfId="9483" priority="11617" operator="between">
      <formula>0.76</formula>
      <formula>0.95</formula>
    </cfRule>
    <cfRule type="cellIs" dxfId="9482" priority="11618" operator="between">
      <formula>0.51</formula>
      <formula>0.75</formula>
    </cfRule>
    <cfRule type="cellIs" dxfId="9481" priority="11619" operator="greaterThan">
      <formula>1</formula>
    </cfRule>
    <cfRule type="cellIs" dxfId="9480" priority="11620" operator="between">
      <formula>0.95</formula>
      <formula>1</formula>
    </cfRule>
    <cfRule type="cellIs" dxfId="9479" priority="11621" stopIfTrue="1" operator="between">
      <formula>0</formula>
      <formula>0.5</formula>
    </cfRule>
  </conditionalFormatting>
  <conditionalFormatting sqref="I24">
    <cfRule type="cellIs" dxfId="9478" priority="11612" operator="between">
      <formula>0.76</formula>
      <formula>0.95</formula>
    </cfRule>
    <cfRule type="cellIs" dxfId="9477" priority="11613" operator="between">
      <formula>0.51</formula>
      <formula>0.75</formula>
    </cfRule>
    <cfRule type="cellIs" dxfId="9476" priority="11614" operator="greaterThan">
      <formula>1</formula>
    </cfRule>
    <cfRule type="cellIs" dxfId="9475" priority="11615" operator="between">
      <formula>0.95</formula>
      <formula>1</formula>
    </cfRule>
    <cfRule type="cellIs" dxfId="9474" priority="11616" stopIfTrue="1" operator="between">
      <formula>0</formula>
      <formula>0.5</formula>
    </cfRule>
  </conditionalFormatting>
  <conditionalFormatting sqref="I25">
    <cfRule type="cellIs" dxfId="9473" priority="11607" operator="between">
      <formula>0.76</formula>
      <formula>0.95</formula>
    </cfRule>
    <cfRule type="cellIs" dxfId="9472" priority="11608" operator="between">
      <formula>0.51</formula>
      <formula>0.75</formula>
    </cfRule>
    <cfRule type="cellIs" dxfId="9471" priority="11609" operator="greaterThan">
      <formula>1</formula>
    </cfRule>
    <cfRule type="cellIs" dxfId="9470" priority="11610" operator="between">
      <formula>0.95</formula>
      <formula>1</formula>
    </cfRule>
    <cfRule type="cellIs" dxfId="9469" priority="11611" stopIfTrue="1" operator="between">
      <formula>0</formula>
      <formula>0.5</formula>
    </cfRule>
  </conditionalFormatting>
  <conditionalFormatting sqref="I27">
    <cfRule type="cellIs" dxfId="9468" priority="11602" operator="between">
      <formula>0.76</formula>
      <formula>0.95</formula>
    </cfRule>
    <cfRule type="cellIs" dxfId="9467" priority="11603" operator="between">
      <formula>0.51</formula>
      <formula>0.75</formula>
    </cfRule>
    <cfRule type="cellIs" dxfId="9466" priority="11604" operator="greaterThan">
      <formula>1</formula>
    </cfRule>
    <cfRule type="cellIs" dxfId="9465" priority="11605" operator="between">
      <formula>0.95</formula>
      <formula>1</formula>
    </cfRule>
    <cfRule type="cellIs" dxfId="9464" priority="11606" stopIfTrue="1" operator="between">
      <formula>0</formula>
      <formula>0.5</formula>
    </cfRule>
  </conditionalFormatting>
  <conditionalFormatting sqref="I28">
    <cfRule type="cellIs" dxfId="9463" priority="11597" operator="between">
      <formula>0.76</formula>
      <formula>0.95</formula>
    </cfRule>
    <cfRule type="cellIs" dxfId="9462" priority="11598" operator="between">
      <formula>0.51</formula>
      <formula>0.75</formula>
    </cfRule>
    <cfRule type="cellIs" dxfId="9461" priority="11599" operator="greaterThan">
      <formula>1</formula>
    </cfRule>
    <cfRule type="cellIs" dxfId="9460" priority="11600" operator="between">
      <formula>0.95</formula>
      <formula>1</formula>
    </cfRule>
    <cfRule type="cellIs" dxfId="9459" priority="11601" stopIfTrue="1" operator="between">
      <formula>0</formula>
      <formula>0.5</formula>
    </cfRule>
  </conditionalFormatting>
  <conditionalFormatting sqref="I29">
    <cfRule type="cellIs" dxfId="9458" priority="11592" operator="between">
      <formula>0.76</formula>
      <formula>0.95</formula>
    </cfRule>
    <cfRule type="cellIs" dxfId="9457" priority="11593" operator="between">
      <formula>0.51</formula>
      <formula>0.75</formula>
    </cfRule>
    <cfRule type="cellIs" dxfId="9456" priority="11594" operator="greaterThan">
      <formula>1</formula>
    </cfRule>
    <cfRule type="cellIs" dxfId="9455" priority="11595" operator="between">
      <formula>0.95</formula>
      <formula>1</formula>
    </cfRule>
    <cfRule type="cellIs" dxfId="9454" priority="11596" stopIfTrue="1" operator="between">
      <formula>0</formula>
      <formula>0.5</formula>
    </cfRule>
  </conditionalFormatting>
  <conditionalFormatting sqref="I30">
    <cfRule type="cellIs" dxfId="9453" priority="11587" operator="between">
      <formula>0.76</formula>
      <formula>0.95</formula>
    </cfRule>
    <cfRule type="cellIs" dxfId="9452" priority="11588" operator="between">
      <formula>0.51</formula>
      <formula>0.75</formula>
    </cfRule>
    <cfRule type="cellIs" dxfId="9451" priority="11589" operator="greaterThan">
      <formula>1</formula>
    </cfRule>
    <cfRule type="cellIs" dxfId="9450" priority="11590" operator="between">
      <formula>0.95</formula>
      <formula>1</formula>
    </cfRule>
    <cfRule type="cellIs" dxfId="9449" priority="11591" stopIfTrue="1" operator="between">
      <formula>0</formula>
      <formula>0.5</formula>
    </cfRule>
  </conditionalFormatting>
  <conditionalFormatting sqref="I31">
    <cfRule type="cellIs" dxfId="9448" priority="11582" operator="between">
      <formula>0.76</formula>
      <formula>0.95</formula>
    </cfRule>
    <cfRule type="cellIs" dxfId="9447" priority="11583" operator="between">
      <formula>0.51</formula>
      <formula>0.75</formula>
    </cfRule>
    <cfRule type="cellIs" dxfId="9446" priority="11584" operator="greaterThan">
      <formula>1</formula>
    </cfRule>
    <cfRule type="cellIs" dxfId="9445" priority="11585" operator="between">
      <formula>0.95</formula>
      <formula>1</formula>
    </cfRule>
    <cfRule type="cellIs" dxfId="9444" priority="11586" stopIfTrue="1" operator="between">
      <formula>0</formula>
      <formula>0.5</formula>
    </cfRule>
  </conditionalFormatting>
  <conditionalFormatting sqref="I32">
    <cfRule type="cellIs" dxfId="9443" priority="11577" operator="between">
      <formula>0.76</formula>
      <formula>0.95</formula>
    </cfRule>
    <cfRule type="cellIs" dxfId="9442" priority="11578" operator="between">
      <formula>0.51</formula>
      <formula>0.75</formula>
    </cfRule>
    <cfRule type="cellIs" dxfId="9441" priority="11579" operator="greaterThan">
      <formula>1</formula>
    </cfRule>
    <cfRule type="cellIs" dxfId="9440" priority="11580" operator="between">
      <formula>0.95</formula>
      <formula>1</formula>
    </cfRule>
    <cfRule type="cellIs" dxfId="9439" priority="11581" stopIfTrue="1" operator="between">
      <formula>0</formula>
      <formula>0.5</formula>
    </cfRule>
  </conditionalFormatting>
  <conditionalFormatting sqref="I33">
    <cfRule type="cellIs" dxfId="9438" priority="11572" operator="between">
      <formula>0.76</formula>
      <formula>0.95</formula>
    </cfRule>
    <cfRule type="cellIs" dxfId="9437" priority="11573" operator="between">
      <formula>0.51</formula>
      <formula>0.75</formula>
    </cfRule>
    <cfRule type="cellIs" dxfId="9436" priority="11574" operator="greaterThan">
      <formula>1</formula>
    </cfRule>
    <cfRule type="cellIs" dxfId="9435" priority="11575" operator="between">
      <formula>0.95</formula>
      <formula>1</formula>
    </cfRule>
    <cfRule type="cellIs" dxfId="9434" priority="11576" stopIfTrue="1" operator="between">
      <formula>0</formula>
      <formula>0.5</formula>
    </cfRule>
  </conditionalFormatting>
  <conditionalFormatting sqref="I34">
    <cfRule type="cellIs" dxfId="9433" priority="11567" operator="between">
      <formula>0.76</formula>
      <formula>0.95</formula>
    </cfRule>
    <cfRule type="cellIs" dxfId="9432" priority="11568" operator="between">
      <formula>0.51</formula>
      <formula>0.75</formula>
    </cfRule>
    <cfRule type="cellIs" dxfId="9431" priority="11569" operator="greaterThan">
      <formula>1</formula>
    </cfRule>
    <cfRule type="cellIs" dxfId="9430" priority="11570" operator="between">
      <formula>0.95</formula>
      <formula>1</formula>
    </cfRule>
    <cfRule type="cellIs" dxfId="9429" priority="11571" stopIfTrue="1" operator="between">
      <formula>0</formula>
      <formula>0.5</formula>
    </cfRule>
  </conditionalFormatting>
  <conditionalFormatting sqref="I35">
    <cfRule type="cellIs" dxfId="9428" priority="11557" operator="between">
      <formula>0.76</formula>
      <formula>0.95</formula>
    </cfRule>
    <cfRule type="cellIs" dxfId="9427" priority="11558" operator="between">
      <formula>0.51</formula>
      <formula>0.75</formula>
    </cfRule>
    <cfRule type="cellIs" dxfId="9426" priority="11559" operator="greaterThan">
      <formula>1</formula>
    </cfRule>
    <cfRule type="cellIs" dxfId="9425" priority="11560" operator="between">
      <formula>0.95</formula>
      <formula>1</formula>
    </cfRule>
    <cfRule type="cellIs" dxfId="9424" priority="11561" stopIfTrue="1" operator="between">
      <formula>0</formula>
      <formula>0.5</formula>
    </cfRule>
  </conditionalFormatting>
  <conditionalFormatting sqref="I36">
    <cfRule type="cellIs" dxfId="9423" priority="11552" operator="between">
      <formula>0.76</formula>
      <formula>0.95</formula>
    </cfRule>
    <cfRule type="cellIs" dxfId="9422" priority="11553" operator="between">
      <formula>0.51</formula>
      <formula>0.75</formula>
    </cfRule>
    <cfRule type="cellIs" dxfId="9421" priority="11554" operator="greaterThan">
      <formula>1</formula>
    </cfRule>
    <cfRule type="cellIs" dxfId="9420" priority="11555" operator="between">
      <formula>0.95</formula>
      <formula>1</formula>
    </cfRule>
    <cfRule type="cellIs" dxfId="9419" priority="11556" stopIfTrue="1" operator="between">
      <formula>0</formula>
      <formula>0.5</formula>
    </cfRule>
  </conditionalFormatting>
  <conditionalFormatting sqref="I38">
    <cfRule type="cellIs" dxfId="9418" priority="11542" operator="between">
      <formula>0.76</formula>
      <formula>0.95</formula>
    </cfRule>
    <cfRule type="cellIs" dxfId="9417" priority="11543" operator="between">
      <formula>0.51</formula>
      <formula>0.75</formula>
    </cfRule>
    <cfRule type="cellIs" dxfId="9416" priority="11544" operator="greaterThan">
      <formula>1</formula>
    </cfRule>
    <cfRule type="cellIs" dxfId="9415" priority="11545" operator="between">
      <formula>0.95</formula>
      <formula>1</formula>
    </cfRule>
    <cfRule type="cellIs" dxfId="9414" priority="11546" stopIfTrue="1" operator="between">
      <formula>0</formula>
      <formula>0.5</formula>
    </cfRule>
  </conditionalFormatting>
  <conditionalFormatting sqref="I37">
    <cfRule type="cellIs" dxfId="9413" priority="11537" operator="between">
      <formula>0.76</formula>
      <formula>0.95</formula>
    </cfRule>
    <cfRule type="cellIs" dxfId="9412" priority="11538" operator="between">
      <formula>0.51</formula>
      <formula>0.75</formula>
    </cfRule>
    <cfRule type="cellIs" dxfId="9411" priority="11539" operator="greaterThan">
      <formula>1</formula>
    </cfRule>
    <cfRule type="cellIs" dxfId="9410" priority="11540" operator="between">
      <formula>0.95</formula>
      <formula>1</formula>
    </cfRule>
    <cfRule type="cellIs" dxfId="9409" priority="11541" stopIfTrue="1" operator="between">
      <formula>0</formula>
      <formula>0.5</formula>
    </cfRule>
  </conditionalFormatting>
  <conditionalFormatting sqref="I39">
    <cfRule type="cellIs" dxfId="9408" priority="11532" operator="between">
      <formula>0.76</formula>
      <formula>0.95</formula>
    </cfRule>
    <cfRule type="cellIs" dxfId="9407" priority="11533" operator="between">
      <formula>0.51</formula>
      <formula>0.75</formula>
    </cfRule>
    <cfRule type="cellIs" dxfId="9406" priority="11534" operator="greaterThan">
      <formula>1</formula>
    </cfRule>
    <cfRule type="cellIs" dxfId="9405" priority="11535" operator="between">
      <formula>0.95</formula>
      <formula>1</formula>
    </cfRule>
    <cfRule type="cellIs" dxfId="9404" priority="11536" stopIfTrue="1" operator="between">
      <formula>0</formula>
      <formula>0.5</formula>
    </cfRule>
  </conditionalFormatting>
  <conditionalFormatting sqref="I40">
    <cfRule type="cellIs" dxfId="9403" priority="11527" operator="between">
      <formula>0.76</formula>
      <formula>0.95</formula>
    </cfRule>
    <cfRule type="cellIs" dxfId="9402" priority="11528" operator="between">
      <formula>0.51</formula>
      <formula>0.75</formula>
    </cfRule>
    <cfRule type="cellIs" dxfId="9401" priority="11529" operator="greaterThan">
      <formula>1</formula>
    </cfRule>
    <cfRule type="cellIs" dxfId="9400" priority="11530" operator="between">
      <formula>0.95</formula>
      <formula>1</formula>
    </cfRule>
    <cfRule type="cellIs" dxfId="9399" priority="11531" stopIfTrue="1" operator="between">
      <formula>0</formula>
      <formula>0.5</formula>
    </cfRule>
  </conditionalFormatting>
  <conditionalFormatting sqref="I41">
    <cfRule type="cellIs" dxfId="9398" priority="11522" operator="between">
      <formula>0.76</formula>
      <formula>0.95</formula>
    </cfRule>
    <cfRule type="cellIs" dxfId="9397" priority="11523" operator="between">
      <formula>0.51</formula>
      <formula>0.75</formula>
    </cfRule>
    <cfRule type="cellIs" dxfId="9396" priority="11524" operator="greaterThan">
      <formula>1</formula>
    </cfRule>
    <cfRule type="cellIs" dxfId="9395" priority="11525" operator="between">
      <formula>0.95</formula>
      <formula>1</formula>
    </cfRule>
    <cfRule type="cellIs" dxfId="9394" priority="11526" stopIfTrue="1" operator="between">
      <formula>0</formula>
      <formula>0.5</formula>
    </cfRule>
  </conditionalFormatting>
  <conditionalFormatting sqref="I42">
    <cfRule type="cellIs" dxfId="9393" priority="11517" operator="between">
      <formula>0.76</formula>
      <formula>0.95</formula>
    </cfRule>
    <cfRule type="cellIs" dxfId="9392" priority="11518" operator="between">
      <formula>0.51</formula>
      <formula>0.75</formula>
    </cfRule>
    <cfRule type="cellIs" dxfId="9391" priority="11519" operator="greaterThan">
      <formula>1</formula>
    </cfRule>
    <cfRule type="cellIs" dxfId="9390" priority="11520" operator="between">
      <formula>0.95</formula>
      <formula>1</formula>
    </cfRule>
    <cfRule type="cellIs" dxfId="9389" priority="11521" stopIfTrue="1" operator="between">
      <formula>0</formula>
      <formula>0.5</formula>
    </cfRule>
  </conditionalFormatting>
  <conditionalFormatting sqref="I43">
    <cfRule type="cellIs" dxfId="9388" priority="11512" operator="between">
      <formula>0.76</formula>
      <formula>0.95</formula>
    </cfRule>
    <cfRule type="cellIs" dxfId="9387" priority="11513" operator="between">
      <formula>0.51</formula>
      <formula>0.75</formula>
    </cfRule>
    <cfRule type="cellIs" dxfId="9386" priority="11514" operator="greaterThan">
      <formula>1</formula>
    </cfRule>
    <cfRule type="cellIs" dxfId="9385" priority="11515" operator="between">
      <formula>0.95</formula>
      <formula>1</formula>
    </cfRule>
    <cfRule type="cellIs" dxfId="9384" priority="11516" stopIfTrue="1" operator="between">
      <formula>0</formula>
      <formula>0.5</formula>
    </cfRule>
  </conditionalFormatting>
  <conditionalFormatting sqref="I44">
    <cfRule type="cellIs" dxfId="9383" priority="11507" operator="between">
      <formula>0.76</formula>
      <formula>0.95</formula>
    </cfRule>
    <cfRule type="cellIs" dxfId="9382" priority="11508" operator="between">
      <formula>0.51</formula>
      <formula>0.75</formula>
    </cfRule>
    <cfRule type="cellIs" dxfId="9381" priority="11509" operator="greaterThan">
      <formula>1</formula>
    </cfRule>
    <cfRule type="cellIs" dxfId="9380" priority="11510" operator="between">
      <formula>0.95</formula>
      <formula>1</formula>
    </cfRule>
    <cfRule type="cellIs" dxfId="9379" priority="11511" stopIfTrue="1" operator="between">
      <formula>0</formula>
      <formula>0.5</formula>
    </cfRule>
  </conditionalFormatting>
  <conditionalFormatting sqref="I45">
    <cfRule type="cellIs" dxfId="9378" priority="11502" operator="between">
      <formula>0.76</formula>
      <formula>0.95</formula>
    </cfRule>
    <cfRule type="cellIs" dxfId="9377" priority="11503" operator="between">
      <formula>0.51</formula>
      <formula>0.75</formula>
    </cfRule>
    <cfRule type="cellIs" dxfId="9376" priority="11504" operator="greaterThan">
      <formula>1</formula>
    </cfRule>
    <cfRule type="cellIs" dxfId="9375" priority="11505" operator="between">
      <formula>0.95</formula>
      <formula>1</formula>
    </cfRule>
    <cfRule type="cellIs" dxfId="9374" priority="11506" stopIfTrue="1" operator="between">
      <formula>0</formula>
      <formula>0.5</formula>
    </cfRule>
  </conditionalFormatting>
  <conditionalFormatting sqref="I47">
    <cfRule type="cellIs" dxfId="9373" priority="11497" operator="between">
      <formula>0.76</formula>
      <formula>0.95</formula>
    </cfRule>
    <cfRule type="cellIs" dxfId="9372" priority="11498" operator="between">
      <formula>0.51</formula>
      <formula>0.75</formula>
    </cfRule>
    <cfRule type="cellIs" dxfId="9371" priority="11499" operator="greaterThan">
      <formula>1</formula>
    </cfRule>
    <cfRule type="cellIs" dxfId="9370" priority="11500" operator="between">
      <formula>0.95</formula>
      <formula>1</formula>
    </cfRule>
    <cfRule type="cellIs" dxfId="9369" priority="11501" stopIfTrue="1" operator="between">
      <formula>0</formula>
      <formula>0.5</formula>
    </cfRule>
  </conditionalFormatting>
  <conditionalFormatting sqref="I46">
    <cfRule type="cellIs" dxfId="9368" priority="11492" operator="between">
      <formula>0.76</formula>
      <formula>0.95</formula>
    </cfRule>
    <cfRule type="cellIs" dxfId="9367" priority="11493" operator="between">
      <formula>0.51</formula>
      <formula>0.75</formula>
    </cfRule>
    <cfRule type="cellIs" dxfId="9366" priority="11494" operator="greaterThan">
      <formula>1</formula>
    </cfRule>
    <cfRule type="cellIs" dxfId="9365" priority="11495" operator="between">
      <formula>0.95</formula>
      <formula>1</formula>
    </cfRule>
    <cfRule type="cellIs" dxfId="9364" priority="11496" stopIfTrue="1" operator="between">
      <formula>0</formula>
      <formula>0.5</formula>
    </cfRule>
  </conditionalFormatting>
  <conditionalFormatting sqref="I48">
    <cfRule type="cellIs" dxfId="9363" priority="11487" operator="between">
      <formula>0.76</formula>
      <formula>0.95</formula>
    </cfRule>
    <cfRule type="cellIs" dxfId="9362" priority="11488" operator="between">
      <formula>0.51</formula>
      <formula>0.75</formula>
    </cfRule>
    <cfRule type="cellIs" dxfId="9361" priority="11489" operator="greaterThan">
      <formula>1</formula>
    </cfRule>
    <cfRule type="cellIs" dxfId="9360" priority="11490" operator="between">
      <formula>0.95</formula>
      <formula>1</formula>
    </cfRule>
    <cfRule type="cellIs" dxfId="9359" priority="11491" stopIfTrue="1" operator="between">
      <formula>0</formula>
      <formula>0.5</formula>
    </cfRule>
  </conditionalFormatting>
  <conditionalFormatting sqref="I49">
    <cfRule type="cellIs" dxfId="9358" priority="11482" operator="between">
      <formula>0.76</formula>
      <formula>0.95</formula>
    </cfRule>
    <cfRule type="cellIs" dxfId="9357" priority="11483" operator="between">
      <formula>0.51</formula>
      <formula>0.75</formula>
    </cfRule>
    <cfRule type="cellIs" dxfId="9356" priority="11484" operator="greaterThan">
      <formula>1</formula>
    </cfRule>
    <cfRule type="cellIs" dxfId="9355" priority="11485" operator="between">
      <formula>0.95</formula>
      <formula>1</formula>
    </cfRule>
    <cfRule type="cellIs" dxfId="9354" priority="11486" stopIfTrue="1" operator="between">
      <formula>0</formula>
      <formula>0.5</formula>
    </cfRule>
  </conditionalFormatting>
  <conditionalFormatting sqref="I50">
    <cfRule type="cellIs" dxfId="9353" priority="11477" operator="between">
      <formula>0.76</formula>
      <formula>0.95</formula>
    </cfRule>
    <cfRule type="cellIs" dxfId="9352" priority="11478" operator="between">
      <formula>0.51</formula>
      <formula>0.75</formula>
    </cfRule>
    <cfRule type="cellIs" dxfId="9351" priority="11479" operator="greaterThan">
      <formula>1</formula>
    </cfRule>
    <cfRule type="cellIs" dxfId="9350" priority="11480" operator="between">
      <formula>0.95</formula>
      <formula>1</formula>
    </cfRule>
    <cfRule type="cellIs" dxfId="9349" priority="11481" stopIfTrue="1" operator="between">
      <formula>0</formula>
      <formula>0.5</formula>
    </cfRule>
  </conditionalFormatting>
  <conditionalFormatting sqref="I51">
    <cfRule type="cellIs" dxfId="9348" priority="11472" operator="between">
      <formula>0.76</formula>
      <formula>0.95</formula>
    </cfRule>
    <cfRule type="cellIs" dxfId="9347" priority="11473" operator="between">
      <formula>0.51</formula>
      <formula>0.75</formula>
    </cfRule>
    <cfRule type="cellIs" dxfId="9346" priority="11474" operator="greaterThan">
      <formula>1</formula>
    </cfRule>
    <cfRule type="cellIs" dxfId="9345" priority="11475" operator="between">
      <formula>0.95</formula>
      <formula>1</formula>
    </cfRule>
    <cfRule type="cellIs" dxfId="9344" priority="11476" stopIfTrue="1" operator="between">
      <formula>0</formula>
      <formula>0.5</formula>
    </cfRule>
  </conditionalFormatting>
  <conditionalFormatting sqref="I52">
    <cfRule type="cellIs" dxfId="9343" priority="11467" operator="between">
      <formula>0.76</formula>
      <formula>0.95</formula>
    </cfRule>
    <cfRule type="cellIs" dxfId="9342" priority="11468" operator="between">
      <formula>0.51</formula>
      <formula>0.75</formula>
    </cfRule>
    <cfRule type="cellIs" dxfId="9341" priority="11469" operator="greaterThan">
      <formula>1</formula>
    </cfRule>
    <cfRule type="cellIs" dxfId="9340" priority="11470" operator="between">
      <formula>0.95</formula>
      <formula>1</formula>
    </cfRule>
    <cfRule type="cellIs" dxfId="9339" priority="11471" stopIfTrue="1" operator="between">
      <formula>0</formula>
      <formula>0.5</formula>
    </cfRule>
  </conditionalFormatting>
  <conditionalFormatting sqref="I53">
    <cfRule type="cellIs" dxfId="9338" priority="11462" operator="between">
      <formula>0.76</formula>
      <formula>0.95</formula>
    </cfRule>
    <cfRule type="cellIs" dxfId="9337" priority="11463" operator="between">
      <formula>0.51</formula>
      <formula>0.75</formula>
    </cfRule>
    <cfRule type="cellIs" dxfId="9336" priority="11464" operator="greaterThan">
      <formula>1</formula>
    </cfRule>
    <cfRule type="cellIs" dxfId="9335" priority="11465" operator="between">
      <formula>0.95</formula>
      <formula>1</formula>
    </cfRule>
    <cfRule type="cellIs" dxfId="9334" priority="11466" stopIfTrue="1" operator="between">
      <formula>0</formula>
      <formula>0.5</formula>
    </cfRule>
  </conditionalFormatting>
  <conditionalFormatting sqref="I54">
    <cfRule type="cellIs" dxfId="9333" priority="11457" operator="between">
      <formula>0.76</formula>
      <formula>0.95</formula>
    </cfRule>
    <cfRule type="cellIs" dxfId="9332" priority="11458" operator="between">
      <formula>0.51</formula>
      <formula>0.75</formula>
    </cfRule>
    <cfRule type="cellIs" dxfId="9331" priority="11459" operator="greaterThan">
      <formula>1</formula>
    </cfRule>
    <cfRule type="cellIs" dxfId="9330" priority="11460" operator="between">
      <formula>0.95</formula>
      <formula>1</formula>
    </cfRule>
    <cfRule type="cellIs" dxfId="9329" priority="11461" stopIfTrue="1" operator="between">
      <formula>0</formula>
      <formula>0.5</formula>
    </cfRule>
  </conditionalFormatting>
  <conditionalFormatting sqref="I55">
    <cfRule type="cellIs" dxfId="9328" priority="11452" operator="between">
      <formula>0.76</formula>
      <formula>0.95</formula>
    </cfRule>
    <cfRule type="cellIs" dxfId="9327" priority="11453" operator="between">
      <formula>0.51</formula>
      <formula>0.75</formula>
    </cfRule>
    <cfRule type="cellIs" dxfId="9326" priority="11454" operator="greaterThan">
      <formula>1</formula>
    </cfRule>
    <cfRule type="cellIs" dxfId="9325" priority="11455" operator="between">
      <formula>0.95</formula>
      <formula>1</formula>
    </cfRule>
    <cfRule type="cellIs" dxfId="9324" priority="11456" stopIfTrue="1" operator="between">
      <formula>0</formula>
      <formula>0.5</formula>
    </cfRule>
  </conditionalFormatting>
  <conditionalFormatting sqref="I56">
    <cfRule type="cellIs" dxfId="9323" priority="11447" operator="between">
      <formula>0.76</formula>
      <formula>0.95</formula>
    </cfRule>
    <cfRule type="cellIs" dxfId="9322" priority="11448" operator="between">
      <formula>0.51</formula>
      <formula>0.75</formula>
    </cfRule>
    <cfRule type="cellIs" dxfId="9321" priority="11449" operator="greaterThan">
      <formula>1</formula>
    </cfRule>
    <cfRule type="cellIs" dxfId="9320" priority="11450" operator="between">
      <formula>0.95</formula>
      <formula>1</formula>
    </cfRule>
    <cfRule type="cellIs" dxfId="9319" priority="11451" stopIfTrue="1" operator="between">
      <formula>0</formula>
      <formula>0.5</formula>
    </cfRule>
  </conditionalFormatting>
  <conditionalFormatting sqref="I57">
    <cfRule type="cellIs" dxfId="9318" priority="11442" operator="between">
      <formula>0.76</formula>
      <formula>0.95</formula>
    </cfRule>
    <cfRule type="cellIs" dxfId="9317" priority="11443" operator="between">
      <formula>0.51</formula>
      <formula>0.75</formula>
    </cfRule>
    <cfRule type="cellIs" dxfId="9316" priority="11444" operator="greaterThan">
      <formula>1</formula>
    </cfRule>
    <cfRule type="cellIs" dxfId="9315" priority="11445" operator="between">
      <formula>0.95</formula>
      <formula>1</formula>
    </cfRule>
    <cfRule type="cellIs" dxfId="9314" priority="11446" stopIfTrue="1" operator="between">
      <formula>0</formula>
      <formula>0.5</formula>
    </cfRule>
  </conditionalFormatting>
  <conditionalFormatting sqref="I58">
    <cfRule type="cellIs" dxfId="9313" priority="11432" operator="between">
      <formula>0.76</formula>
      <formula>0.95</formula>
    </cfRule>
    <cfRule type="cellIs" dxfId="9312" priority="11433" operator="between">
      <formula>0.51</formula>
      <formula>0.75</formula>
    </cfRule>
    <cfRule type="cellIs" dxfId="9311" priority="11434" operator="greaterThan">
      <formula>1</formula>
    </cfRule>
    <cfRule type="cellIs" dxfId="9310" priority="11435" operator="between">
      <formula>0.95</formula>
      <formula>1</formula>
    </cfRule>
    <cfRule type="cellIs" dxfId="9309" priority="11436" stopIfTrue="1" operator="between">
      <formula>0</formula>
      <formula>0.5</formula>
    </cfRule>
  </conditionalFormatting>
  <conditionalFormatting sqref="I59">
    <cfRule type="cellIs" dxfId="9308" priority="11427" operator="between">
      <formula>0.76</formula>
      <formula>0.95</formula>
    </cfRule>
    <cfRule type="cellIs" dxfId="9307" priority="11428" operator="between">
      <formula>0.51</formula>
      <formula>0.75</formula>
    </cfRule>
    <cfRule type="cellIs" dxfId="9306" priority="11429" operator="greaterThan">
      <formula>1</formula>
    </cfRule>
    <cfRule type="cellIs" dxfId="9305" priority="11430" operator="between">
      <formula>0.95</formula>
      <formula>1</formula>
    </cfRule>
    <cfRule type="cellIs" dxfId="9304" priority="11431" stopIfTrue="1" operator="between">
      <formula>0</formula>
      <formula>0.5</formula>
    </cfRule>
  </conditionalFormatting>
  <conditionalFormatting sqref="I60">
    <cfRule type="cellIs" dxfId="9303" priority="11422" operator="between">
      <formula>0.76</formula>
      <formula>0.95</formula>
    </cfRule>
    <cfRule type="cellIs" dxfId="9302" priority="11423" operator="between">
      <formula>0.51</formula>
      <formula>0.75</formula>
    </cfRule>
    <cfRule type="cellIs" dxfId="9301" priority="11424" operator="greaterThan">
      <formula>1</formula>
    </cfRule>
    <cfRule type="cellIs" dxfId="9300" priority="11425" operator="between">
      <formula>0.95</formula>
      <formula>1</formula>
    </cfRule>
    <cfRule type="cellIs" dxfId="9299" priority="11426" stopIfTrue="1" operator="between">
      <formula>0</formula>
      <formula>0.5</formula>
    </cfRule>
  </conditionalFormatting>
  <conditionalFormatting sqref="I61">
    <cfRule type="cellIs" dxfId="9298" priority="11417" operator="between">
      <formula>0.76</formula>
      <formula>0.95</formula>
    </cfRule>
    <cfRule type="cellIs" dxfId="9297" priority="11418" operator="between">
      <formula>0.51</formula>
      <formula>0.75</formula>
    </cfRule>
    <cfRule type="cellIs" dxfId="9296" priority="11419" operator="greaterThan">
      <formula>1</formula>
    </cfRule>
    <cfRule type="cellIs" dxfId="9295" priority="11420" operator="between">
      <formula>0.95</formula>
      <formula>1</formula>
    </cfRule>
    <cfRule type="cellIs" dxfId="9294" priority="11421" stopIfTrue="1" operator="between">
      <formula>0</formula>
      <formula>0.5</formula>
    </cfRule>
  </conditionalFormatting>
  <conditionalFormatting sqref="I63">
    <cfRule type="cellIs" dxfId="9293" priority="11412" operator="between">
      <formula>0.76</formula>
      <formula>0.95</formula>
    </cfRule>
    <cfRule type="cellIs" dxfId="9292" priority="11413" operator="between">
      <formula>0.51</formula>
      <formula>0.75</formula>
    </cfRule>
    <cfRule type="cellIs" dxfId="9291" priority="11414" operator="greaterThan">
      <formula>1</formula>
    </cfRule>
    <cfRule type="cellIs" dxfId="9290" priority="11415" operator="between">
      <formula>0.95</formula>
      <formula>1</formula>
    </cfRule>
    <cfRule type="cellIs" dxfId="9289" priority="11416" stopIfTrue="1" operator="between">
      <formula>0</formula>
      <formula>0.5</formula>
    </cfRule>
  </conditionalFormatting>
  <conditionalFormatting sqref="I64">
    <cfRule type="cellIs" dxfId="9288" priority="11407" operator="between">
      <formula>0.76</formula>
      <formula>0.95</formula>
    </cfRule>
    <cfRule type="cellIs" dxfId="9287" priority="11408" operator="between">
      <formula>0.51</formula>
      <formula>0.75</formula>
    </cfRule>
    <cfRule type="cellIs" dxfId="9286" priority="11409" operator="greaterThan">
      <formula>1</formula>
    </cfRule>
    <cfRule type="cellIs" dxfId="9285" priority="11410" operator="between">
      <formula>0.95</formula>
      <formula>1</formula>
    </cfRule>
    <cfRule type="cellIs" dxfId="9284" priority="11411" stopIfTrue="1" operator="between">
      <formula>0</formula>
      <formula>0.5</formula>
    </cfRule>
  </conditionalFormatting>
  <conditionalFormatting sqref="I65">
    <cfRule type="cellIs" dxfId="9283" priority="11402" operator="between">
      <formula>0.76</formula>
      <formula>0.95</formula>
    </cfRule>
    <cfRule type="cellIs" dxfId="9282" priority="11403" operator="between">
      <formula>0.51</formula>
      <formula>0.75</formula>
    </cfRule>
    <cfRule type="cellIs" dxfId="9281" priority="11404" operator="greaterThan">
      <formula>1</formula>
    </cfRule>
    <cfRule type="cellIs" dxfId="9280" priority="11405" operator="between">
      <formula>0.95</formula>
      <formula>1</formula>
    </cfRule>
    <cfRule type="cellIs" dxfId="9279" priority="11406" stopIfTrue="1" operator="between">
      <formula>0</formula>
      <formula>0.5</formula>
    </cfRule>
  </conditionalFormatting>
  <conditionalFormatting sqref="I66">
    <cfRule type="cellIs" dxfId="9278" priority="11397" operator="between">
      <formula>0.76</formula>
      <formula>0.95</formula>
    </cfRule>
    <cfRule type="cellIs" dxfId="9277" priority="11398" operator="between">
      <formula>0.51</formula>
      <formula>0.75</formula>
    </cfRule>
    <cfRule type="cellIs" dxfId="9276" priority="11399" operator="greaterThan">
      <formula>1</formula>
    </cfRule>
    <cfRule type="cellIs" dxfId="9275" priority="11400" operator="between">
      <formula>0.95</formula>
      <formula>1</formula>
    </cfRule>
    <cfRule type="cellIs" dxfId="9274" priority="11401" stopIfTrue="1" operator="between">
      <formula>0</formula>
      <formula>0.5</formula>
    </cfRule>
  </conditionalFormatting>
  <conditionalFormatting sqref="I67">
    <cfRule type="cellIs" dxfId="9273" priority="11392" operator="between">
      <formula>0.76</formula>
      <formula>0.95</formula>
    </cfRule>
    <cfRule type="cellIs" dxfId="9272" priority="11393" operator="between">
      <formula>0.51</formula>
      <formula>0.75</formula>
    </cfRule>
    <cfRule type="cellIs" dxfId="9271" priority="11394" operator="greaterThan">
      <formula>1</formula>
    </cfRule>
    <cfRule type="cellIs" dxfId="9270" priority="11395" operator="between">
      <formula>0.95</formula>
      <formula>1</formula>
    </cfRule>
    <cfRule type="cellIs" dxfId="9269" priority="11396" stopIfTrue="1" operator="between">
      <formula>0</formula>
      <formula>0.5</formula>
    </cfRule>
  </conditionalFormatting>
  <conditionalFormatting sqref="I68">
    <cfRule type="cellIs" dxfId="9268" priority="11387" operator="between">
      <formula>0.76</formula>
      <formula>0.95</formula>
    </cfRule>
    <cfRule type="cellIs" dxfId="9267" priority="11388" operator="between">
      <formula>0.51</formula>
      <formula>0.75</formula>
    </cfRule>
    <cfRule type="cellIs" dxfId="9266" priority="11389" operator="greaterThan">
      <formula>1</formula>
    </cfRule>
    <cfRule type="cellIs" dxfId="9265" priority="11390" operator="between">
      <formula>0.95</formula>
      <formula>1</formula>
    </cfRule>
    <cfRule type="cellIs" dxfId="9264" priority="11391" stopIfTrue="1" operator="between">
      <formula>0</formula>
      <formula>0.5</formula>
    </cfRule>
  </conditionalFormatting>
  <conditionalFormatting sqref="I69">
    <cfRule type="cellIs" dxfId="9263" priority="11382" operator="between">
      <formula>0.76</formula>
      <formula>0.95</formula>
    </cfRule>
    <cfRule type="cellIs" dxfId="9262" priority="11383" operator="between">
      <formula>0.51</formula>
      <formula>0.75</formula>
    </cfRule>
    <cfRule type="cellIs" dxfId="9261" priority="11384" operator="greaterThan">
      <formula>1</formula>
    </cfRule>
    <cfRule type="cellIs" dxfId="9260" priority="11385" operator="between">
      <formula>0.95</formula>
      <formula>1</formula>
    </cfRule>
    <cfRule type="cellIs" dxfId="9259" priority="11386" stopIfTrue="1" operator="between">
      <formula>0</formula>
      <formula>0.5</formula>
    </cfRule>
  </conditionalFormatting>
  <conditionalFormatting sqref="I70">
    <cfRule type="cellIs" dxfId="9258" priority="11377" operator="between">
      <formula>0.76</formula>
      <formula>0.95</formula>
    </cfRule>
    <cfRule type="cellIs" dxfId="9257" priority="11378" operator="between">
      <formula>0.51</formula>
      <formula>0.75</formula>
    </cfRule>
    <cfRule type="cellIs" dxfId="9256" priority="11379" operator="greaterThan">
      <formula>1</formula>
    </cfRule>
    <cfRule type="cellIs" dxfId="9255" priority="11380" operator="between">
      <formula>0.95</formula>
      <formula>1</formula>
    </cfRule>
    <cfRule type="cellIs" dxfId="9254" priority="11381" stopIfTrue="1" operator="between">
      <formula>0</formula>
      <formula>0.5</formula>
    </cfRule>
  </conditionalFormatting>
  <conditionalFormatting sqref="I71">
    <cfRule type="cellIs" dxfId="9253" priority="11372" operator="between">
      <formula>0.76</formula>
      <formula>0.95</formula>
    </cfRule>
    <cfRule type="cellIs" dxfId="9252" priority="11373" operator="between">
      <formula>0.51</formula>
      <formula>0.75</formula>
    </cfRule>
    <cfRule type="cellIs" dxfId="9251" priority="11374" operator="greaterThan">
      <formula>1</formula>
    </cfRule>
    <cfRule type="cellIs" dxfId="9250" priority="11375" operator="between">
      <formula>0.95</formula>
      <formula>1</formula>
    </cfRule>
    <cfRule type="cellIs" dxfId="9249" priority="11376" stopIfTrue="1" operator="between">
      <formula>0</formula>
      <formula>0.5</formula>
    </cfRule>
  </conditionalFormatting>
  <conditionalFormatting sqref="I72">
    <cfRule type="cellIs" dxfId="9248" priority="11367" operator="between">
      <formula>0.76</formula>
      <formula>0.95</formula>
    </cfRule>
    <cfRule type="cellIs" dxfId="9247" priority="11368" operator="between">
      <formula>0.51</formula>
      <formula>0.75</formula>
    </cfRule>
    <cfRule type="cellIs" dxfId="9246" priority="11369" operator="greaterThan">
      <formula>1</formula>
    </cfRule>
    <cfRule type="cellIs" dxfId="9245" priority="11370" operator="between">
      <formula>0.95</formula>
      <formula>1</formula>
    </cfRule>
    <cfRule type="cellIs" dxfId="9244" priority="11371" stopIfTrue="1" operator="between">
      <formula>0</formula>
      <formula>0.5</formula>
    </cfRule>
  </conditionalFormatting>
  <conditionalFormatting sqref="I73">
    <cfRule type="cellIs" dxfId="9243" priority="11362" operator="between">
      <formula>0.76</formula>
      <formula>0.95</formula>
    </cfRule>
    <cfRule type="cellIs" dxfId="9242" priority="11363" operator="between">
      <formula>0.51</formula>
      <formula>0.75</formula>
    </cfRule>
    <cfRule type="cellIs" dxfId="9241" priority="11364" operator="greaterThan">
      <formula>1</formula>
    </cfRule>
    <cfRule type="cellIs" dxfId="9240" priority="11365" operator="between">
      <formula>0.95</formula>
      <formula>1</formula>
    </cfRule>
    <cfRule type="cellIs" dxfId="9239" priority="11366" stopIfTrue="1" operator="between">
      <formula>0</formula>
      <formula>0.5</formula>
    </cfRule>
  </conditionalFormatting>
  <conditionalFormatting sqref="I74">
    <cfRule type="cellIs" dxfId="9238" priority="11357" operator="between">
      <formula>0.76</formula>
      <formula>0.95</formula>
    </cfRule>
    <cfRule type="cellIs" dxfId="9237" priority="11358" operator="between">
      <formula>0.51</formula>
      <formula>0.75</formula>
    </cfRule>
    <cfRule type="cellIs" dxfId="9236" priority="11359" operator="greaterThan">
      <formula>1</formula>
    </cfRule>
    <cfRule type="cellIs" dxfId="9235" priority="11360" operator="between">
      <formula>0.95</formula>
      <formula>1</formula>
    </cfRule>
    <cfRule type="cellIs" dxfId="9234" priority="11361" stopIfTrue="1" operator="between">
      <formula>0</formula>
      <formula>0.5</formula>
    </cfRule>
  </conditionalFormatting>
  <conditionalFormatting sqref="I75">
    <cfRule type="cellIs" dxfId="9233" priority="11352" operator="between">
      <formula>0.76</formula>
      <formula>0.95</formula>
    </cfRule>
    <cfRule type="cellIs" dxfId="9232" priority="11353" operator="between">
      <formula>0.51</formula>
      <formula>0.75</formula>
    </cfRule>
    <cfRule type="cellIs" dxfId="9231" priority="11354" operator="greaterThan">
      <formula>1</formula>
    </cfRule>
    <cfRule type="cellIs" dxfId="9230" priority="11355" operator="between">
      <formula>0.95</formula>
      <formula>1</formula>
    </cfRule>
    <cfRule type="cellIs" dxfId="9229" priority="11356" stopIfTrue="1" operator="between">
      <formula>0</formula>
      <formula>0.5</formula>
    </cfRule>
  </conditionalFormatting>
  <conditionalFormatting sqref="I78">
    <cfRule type="cellIs" dxfId="9228" priority="11347" operator="between">
      <formula>0.76</formula>
      <formula>0.95</formula>
    </cfRule>
    <cfRule type="cellIs" dxfId="9227" priority="11348" operator="between">
      <formula>0.51</formula>
      <formula>0.75</formula>
    </cfRule>
    <cfRule type="cellIs" dxfId="9226" priority="11349" operator="greaterThan">
      <formula>1</formula>
    </cfRule>
    <cfRule type="cellIs" dxfId="9225" priority="11350" operator="between">
      <formula>0.95</formula>
      <formula>1</formula>
    </cfRule>
    <cfRule type="cellIs" dxfId="9224" priority="11351" stopIfTrue="1" operator="between">
      <formula>0</formula>
      <formula>0.5</formula>
    </cfRule>
  </conditionalFormatting>
  <conditionalFormatting sqref="I79">
    <cfRule type="cellIs" dxfId="9223" priority="11342" operator="between">
      <formula>0.76</formula>
      <formula>0.95</formula>
    </cfRule>
    <cfRule type="cellIs" dxfId="9222" priority="11343" operator="between">
      <formula>0.51</formula>
      <formula>0.75</formula>
    </cfRule>
    <cfRule type="cellIs" dxfId="9221" priority="11344" operator="greaterThan">
      <formula>1</formula>
    </cfRule>
    <cfRule type="cellIs" dxfId="9220" priority="11345" operator="between">
      <formula>0.95</formula>
      <formula>1</formula>
    </cfRule>
    <cfRule type="cellIs" dxfId="9219" priority="11346" stopIfTrue="1" operator="between">
      <formula>0</formula>
      <formula>0.5</formula>
    </cfRule>
  </conditionalFormatting>
  <conditionalFormatting sqref="I80">
    <cfRule type="cellIs" dxfId="9218" priority="11337" operator="between">
      <formula>0.76</formula>
      <formula>0.95</formula>
    </cfRule>
    <cfRule type="cellIs" dxfId="9217" priority="11338" operator="between">
      <formula>0.51</formula>
      <formula>0.75</formula>
    </cfRule>
    <cfRule type="cellIs" dxfId="9216" priority="11339" operator="greaterThan">
      <formula>1</formula>
    </cfRule>
    <cfRule type="cellIs" dxfId="9215" priority="11340" operator="between">
      <formula>0.95</formula>
      <formula>1</formula>
    </cfRule>
    <cfRule type="cellIs" dxfId="9214" priority="11341" stopIfTrue="1" operator="between">
      <formula>0</formula>
      <formula>0.5</formula>
    </cfRule>
  </conditionalFormatting>
  <conditionalFormatting sqref="I81">
    <cfRule type="cellIs" dxfId="9213" priority="11332" operator="between">
      <formula>0.76</formula>
      <formula>0.95</formula>
    </cfRule>
    <cfRule type="cellIs" dxfId="9212" priority="11333" operator="between">
      <formula>0.51</formula>
      <formula>0.75</formula>
    </cfRule>
    <cfRule type="cellIs" dxfId="9211" priority="11334" operator="greaterThan">
      <formula>1</formula>
    </cfRule>
    <cfRule type="cellIs" dxfId="9210" priority="11335" operator="between">
      <formula>0.95</formula>
      <formula>1</formula>
    </cfRule>
    <cfRule type="cellIs" dxfId="9209" priority="11336" stopIfTrue="1" operator="between">
      <formula>0</formula>
      <formula>0.5</formula>
    </cfRule>
  </conditionalFormatting>
  <conditionalFormatting sqref="I82">
    <cfRule type="cellIs" dxfId="9208" priority="11327" operator="between">
      <formula>0.76</formula>
      <formula>0.95</formula>
    </cfRule>
    <cfRule type="cellIs" dxfId="9207" priority="11328" operator="between">
      <formula>0.51</formula>
      <formula>0.75</formula>
    </cfRule>
    <cfRule type="cellIs" dxfId="9206" priority="11329" operator="greaterThan">
      <formula>1</formula>
    </cfRule>
    <cfRule type="cellIs" dxfId="9205" priority="11330" operator="between">
      <formula>0.95</formula>
      <formula>1</formula>
    </cfRule>
    <cfRule type="cellIs" dxfId="9204" priority="11331" stopIfTrue="1" operator="between">
      <formula>0</formula>
      <formula>0.5</formula>
    </cfRule>
  </conditionalFormatting>
  <conditionalFormatting sqref="I83">
    <cfRule type="cellIs" dxfId="9203" priority="11322" operator="between">
      <formula>0.76</formula>
      <formula>0.95</formula>
    </cfRule>
    <cfRule type="cellIs" dxfId="9202" priority="11323" operator="between">
      <formula>0.51</formula>
      <formula>0.75</formula>
    </cfRule>
    <cfRule type="cellIs" dxfId="9201" priority="11324" operator="greaterThan">
      <formula>1</formula>
    </cfRule>
    <cfRule type="cellIs" dxfId="9200" priority="11325" operator="between">
      <formula>0.95</formula>
      <formula>1</formula>
    </cfRule>
    <cfRule type="cellIs" dxfId="9199" priority="11326" stopIfTrue="1" operator="between">
      <formula>0</formula>
      <formula>0.5</formula>
    </cfRule>
  </conditionalFormatting>
  <conditionalFormatting sqref="I88">
    <cfRule type="cellIs" dxfId="9198" priority="11317" operator="between">
      <formula>0.76</formula>
      <formula>0.95</formula>
    </cfRule>
    <cfRule type="cellIs" dxfId="9197" priority="11318" operator="between">
      <formula>0.51</formula>
      <formula>0.75</formula>
    </cfRule>
    <cfRule type="cellIs" dxfId="9196" priority="11319" operator="greaterThan">
      <formula>1</formula>
    </cfRule>
    <cfRule type="cellIs" dxfId="9195" priority="11320" operator="between">
      <formula>0.95</formula>
      <formula>1</formula>
    </cfRule>
    <cfRule type="cellIs" dxfId="9194" priority="11321" stopIfTrue="1" operator="between">
      <formula>0</formula>
      <formula>0.5</formula>
    </cfRule>
  </conditionalFormatting>
  <conditionalFormatting sqref="I91">
    <cfRule type="cellIs" dxfId="9193" priority="11312" operator="between">
      <formula>0.76</formula>
      <formula>0.95</formula>
    </cfRule>
    <cfRule type="cellIs" dxfId="9192" priority="11313" operator="between">
      <formula>0.51</formula>
      <formula>0.75</formula>
    </cfRule>
    <cfRule type="cellIs" dxfId="9191" priority="11314" operator="greaterThan">
      <formula>1</formula>
    </cfRule>
    <cfRule type="cellIs" dxfId="9190" priority="11315" operator="between">
      <formula>0.95</formula>
      <formula>1</formula>
    </cfRule>
    <cfRule type="cellIs" dxfId="9189" priority="11316" stopIfTrue="1" operator="between">
      <formula>0</formula>
      <formula>0.5</formula>
    </cfRule>
  </conditionalFormatting>
  <conditionalFormatting sqref="I92">
    <cfRule type="cellIs" dxfId="9188" priority="11307" operator="between">
      <formula>0.76</formula>
      <formula>0.95</formula>
    </cfRule>
    <cfRule type="cellIs" dxfId="9187" priority="11308" operator="between">
      <formula>0.51</formula>
      <formula>0.75</formula>
    </cfRule>
    <cfRule type="cellIs" dxfId="9186" priority="11309" operator="greaterThan">
      <formula>1</formula>
    </cfRule>
    <cfRule type="cellIs" dxfId="9185" priority="11310" operator="between">
      <formula>0.95</formula>
      <formula>1</formula>
    </cfRule>
    <cfRule type="cellIs" dxfId="9184" priority="11311" stopIfTrue="1" operator="between">
      <formula>0</formula>
      <formula>0.5</formula>
    </cfRule>
  </conditionalFormatting>
  <conditionalFormatting sqref="I93">
    <cfRule type="cellIs" dxfId="9183" priority="11302" operator="between">
      <formula>0.76</formula>
      <formula>0.95</formula>
    </cfRule>
    <cfRule type="cellIs" dxfId="9182" priority="11303" operator="between">
      <formula>0.51</formula>
      <formula>0.75</formula>
    </cfRule>
    <cfRule type="cellIs" dxfId="9181" priority="11304" operator="greaterThan">
      <formula>1</formula>
    </cfRule>
    <cfRule type="cellIs" dxfId="9180" priority="11305" operator="between">
      <formula>0.95</formula>
      <formula>1</formula>
    </cfRule>
    <cfRule type="cellIs" dxfId="9179" priority="11306" stopIfTrue="1" operator="between">
      <formula>0</formula>
      <formula>0.5</formula>
    </cfRule>
  </conditionalFormatting>
  <conditionalFormatting sqref="I94">
    <cfRule type="cellIs" dxfId="9178" priority="11297" operator="between">
      <formula>0.76</formula>
      <formula>0.95</formula>
    </cfRule>
    <cfRule type="cellIs" dxfId="9177" priority="11298" operator="between">
      <formula>0.51</formula>
      <formula>0.75</formula>
    </cfRule>
    <cfRule type="cellIs" dxfId="9176" priority="11299" operator="greaterThan">
      <formula>1</formula>
    </cfRule>
    <cfRule type="cellIs" dxfId="9175" priority="11300" operator="between">
      <formula>0.95</formula>
      <formula>1</formula>
    </cfRule>
    <cfRule type="cellIs" dxfId="9174" priority="11301" stopIfTrue="1" operator="between">
      <formula>0</formula>
      <formula>0.5</formula>
    </cfRule>
  </conditionalFormatting>
  <conditionalFormatting sqref="I95">
    <cfRule type="cellIs" dxfId="9173" priority="11292" operator="between">
      <formula>0.76</formula>
      <formula>0.95</formula>
    </cfRule>
    <cfRule type="cellIs" dxfId="9172" priority="11293" operator="between">
      <formula>0.51</formula>
      <formula>0.75</formula>
    </cfRule>
    <cfRule type="cellIs" dxfId="9171" priority="11294" operator="greaterThan">
      <formula>1</formula>
    </cfRule>
    <cfRule type="cellIs" dxfId="9170" priority="11295" operator="between">
      <formula>0.95</formula>
      <formula>1</formula>
    </cfRule>
    <cfRule type="cellIs" dxfId="9169" priority="11296" stopIfTrue="1" operator="between">
      <formula>0</formula>
      <formula>0.5</formula>
    </cfRule>
  </conditionalFormatting>
  <conditionalFormatting sqref="I96">
    <cfRule type="cellIs" dxfId="9168" priority="11287" operator="between">
      <formula>0.76</formula>
      <formula>0.95</formula>
    </cfRule>
    <cfRule type="cellIs" dxfId="9167" priority="11288" operator="between">
      <formula>0.51</formula>
      <formula>0.75</formula>
    </cfRule>
    <cfRule type="cellIs" dxfId="9166" priority="11289" operator="greaterThan">
      <formula>1</formula>
    </cfRule>
    <cfRule type="cellIs" dxfId="9165" priority="11290" operator="between">
      <formula>0.95</formula>
      <formula>1</formula>
    </cfRule>
    <cfRule type="cellIs" dxfId="9164" priority="11291" stopIfTrue="1" operator="between">
      <formula>0</formula>
      <formula>0.5</formula>
    </cfRule>
  </conditionalFormatting>
  <conditionalFormatting sqref="I98">
    <cfRule type="cellIs" dxfId="9163" priority="11282" operator="between">
      <formula>0.76</formula>
      <formula>0.95</formula>
    </cfRule>
    <cfRule type="cellIs" dxfId="9162" priority="11283" operator="between">
      <formula>0.51</formula>
      <formula>0.75</formula>
    </cfRule>
    <cfRule type="cellIs" dxfId="9161" priority="11284" operator="greaterThan">
      <formula>1</formula>
    </cfRule>
    <cfRule type="cellIs" dxfId="9160" priority="11285" operator="between">
      <formula>0.95</formula>
      <formula>1</formula>
    </cfRule>
    <cfRule type="cellIs" dxfId="9159" priority="11286" stopIfTrue="1" operator="between">
      <formula>0</formula>
      <formula>0.5</formula>
    </cfRule>
  </conditionalFormatting>
  <conditionalFormatting sqref="I99">
    <cfRule type="cellIs" dxfId="9158" priority="11272" operator="between">
      <formula>0.76</formula>
      <formula>0.95</formula>
    </cfRule>
    <cfRule type="cellIs" dxfId="9157" priority="11273" operator="between">
      <formula>0.51</formula>
      <formula>0.75</formula>
    </cfRule>
    <cfRule type="cellIs" dxfId="9156" priority="11274" operator="greaterThan">
      <formula>1</formula>
    </cfRule>
    <cfRule type="cellIs" dxfId="9155" priority="11275" operator="between">
      <formula>0.95</formula>
      <formula>1</formula>
    </cfRule>
    <cfRule type="cellIs" dxfId="9154" priority="11276" stopIfTrue="1" operator="between">
      <formula>0</formula>
      <formula>0.5</formula>
    </cfRule>
  </conditionalFormatting>
  <conditionalFormatting sqref="I101">
    <cfRule type="cellIs" dxfId="9153" priority="11262" operator="between">
      <formula>0.76</formula>
      <formula>0.95</formula>
    </cfRule>
    <cfRule type="cellIs" dxfId="9152" priority="11263" operator="between">
      <formula>0.51</formula>
      <formula>0.75</formula>
    </cfRule>
    <cfRule type="cellIs" dxfId="9151" priority="11264" operator="greaterThan">
      <formula>1</formula>
    </cfRule>
    <cfRule type="cellIs" dxfId="9150" priority="11265" operator="between">
      <formula>0.95</formula>
      <formula>1</formula>
    </cfRule>
    <cfRule type="cellIs" dxfId="9149" priority="11266" stopIfTrue="1" operator="between">
      <formula>0</formula>
      <formula>0.5</formula>
    </cfRule>
  </conditionalFormatting>
  <conditionalFormatting sqref="I103">
    <cfRule type="cellIs" dxfId="9148" priority="11252" operator="between">
      <formula>0.76</formula>
      <formula>0.95</formula>
    </cfRule>
    <cfRule type="cellIs" dxfId="9147" priority="11253" operator="between">
      <formula>0.51</formula>
      <formula>0.75</formula>
    </cfRule>
    <cfRule type="cellIs" dxfId="9146" priority="11254" operator="greaterThan">
      <formula>1</formula>
    </cfRule>
    <cfRule type="cellIs" dxfId="9145" priority="11255" operator="between">
      <formula>0.95</formula>
      <formula>1</formula>
    </cfRule>
    <cfRule type="cellIs" dxfId="9144" priority="11256" stopIfTrue="1" operator="between">
      <formula>0</formula>
      <formula>0.5</formula>
    </cfRule>
  </conditionalFormatting>
  <conditionalFormatting sqref="I104">
    <cfRule type="cellIs" dxfId="9143" priority="11247" operator="between">
      <formula>0.76</formula>
      <formula>0.95</formula>
    </cfRule>
    <cfRule type="cellIs" dxfId="9142" priority="11248" operator="between">
      <formula>0.51</formula>
      <formula>0.75</formula>
    </cfRule>
    <cfRule type="cellIs" dxfId="9141" priority="11249" operator="greaterThan">
      <formula>1</formula>
    </cfRule>
    <cfRule type="cellIs" dxfId="9140" priority="11250" operator="between">
      <formula>0.95</formula>
      <formula>1</formula>
    </cfRule>
    <cfRule type="cellIs" dxfId="9139" priority="11251" stopIfTrue="1" operator="between">
      <formula>0</formula>
      <formula>0.5</formula>
    </cfRule>
  </conditionalFormatting>
  <conditionalFormatting sqref="I105">
    <cfRule type="cellIs" dxfId="9138" priority="11242" operator="between">
      <formula>0.76</formula>
      <formula>0.95</formula>
    </cfRule>
    <cfRule type="cellIs" dxfId="9137" priority="11243" operator="between">
      <formula>0.51</formula>
      <formula>0.75</formula>
    </cfRule>
    <cfRule type="cellIs" dxfId="9136" priority="11244" operator="greaterThan">
      <formula>1</formula>
    </cfRule>
    <cfRule type="cellIs" dxfId="9135" priority="11245" operator="between">
      <formula>0.95</formula>
      <formula>1</formula>
    </cfRule>
    <cfRule type="cellIs" dxfId="9134" priority="11246" stopIfTrue="1" operator="between">
      <formula>0</formula>
      <formula>0.5</formula>
    </cfRule>
  </conditionalFormatting>
  <conditionalFormatting sqref="I106">
    <cfRule type="cellIs" dxfId="9133" priority="11237" operator="between">
      <formula>0.76</formula>
      <formula>0.95</formula>
    </cfRule>
    <cfRule type="cellIs" dxfId="9132" priority="11238" operator="between">
      <formula>0.51</formula>
      <formula>0.75</formula>
    </cfRule>
    <cfRule type="cellIs" dxfId="9131" priority="11239" operator="greaterThan">
      <formula>1</formula>
    </cfRule>
    <cfRule type="cellIs" dxfId="9130" priority="11240" operator="between">
      <formula>0.95</formula>
      <formula>1</formula>
    </cfRule>
    <cfRule type="cellIs" dxfId="9129" priority="11241" stopIfTrue="1" operator="between">
      <formula>0</formula>
      <formula>0.5</formula>
    </cfRule>
  </conditionalFormatting>
  <conditionalFormatting sqref="I107">
    <cfRule type="cellIs" dxfId="9128" priority="11232" operator="between">
      <formula>0.76</formula>
      <formula>0.95</formula>
    </cfRule>
    <cfRule type="cellIs" dxfId="9127" priority="11233" operator="between">
      <formula>0.51</formula>
      <formula>0.75</formula>
    </cfRule>
    <cfRule type="cellIs" dxfId="9126" priority="11234" operator="greaterThan">
      <formula>1</formula>
    </cfRule>
    <cfRule type="cellIs" dxfId="9125" priority="11235" operator="between">
      <formula>0.95</formula>
      <formula>1</formula>
    </cfRule>
    <cfRule type="cellIs" dxfId="9124" priority="11236" stopIfTrue="1" operator="between">
      <formula>0</formula>
      <formula>0.5</formula>
    </cfRule>
  </conditionalFormatting>
  <conditionalFormatting sqref="I108:I109">
    <cfRule type="cellIs" dxfId="9123" priority="11227" operator="between">
      <formula>0.76</formula>
      <formula>0.95</formula>
    </cfRule>
    <cfRule type="cellIs" dxfId="9122" priority="11228" operator="between">
      <formula>0.51</formula>
      <formula>0.75</formula>
    </cfRule>
    <cfRule type="cellIs" dxfId="9121" priority="11229" operator="greaterThan">
      <formula>1</formula>
    </cfRule>
    <cfRule type="cellIs" dxfId="9120" priority="11230" operator="between">
      <formula>0.95</formula>
      <formula>1</formula>
    </cfRule>
    <cfRule type="cellIs" dxfId="9119" priority="11231" stopIfTrue="1" operator="between">
      <formula>0</formula>
      <formula>0.5</formula>
    </cfRule>
  </conditionalFormatting>
  <conditionalFormatting sqref="I110">
    <cfRule type="cellIs" dxfId="9118" priority="11222" operator="between">
      <formula>0.76</formula>
      <formula>0.95</formula>
    </cfRule>
    <cfRule type="cellIs" dxfId="9117" priority="11223" operator="between">
      <formula>0.51</formula>
      <formula>0.75</formula>
    </cfRule>
    <cfRule type="cellIs" dxfId="9116" priority="11224" operator="greaterThan">
      <formula>1</formula>
    </cfRule>
    <cfRule type="cellIs" dxfId="9115" priority="11225" operator="between">
      <formula>0.95</formula>
      <formula>1</formula>
    </cfRule>
    <cfRule type="cellIs" dxfId="9114" priority="11226" stopIfTrue="1" operator="between">
      <formula>0</formula>
      <formula>0.5</formula>
    </cfRule>
  </conditionalFormatting>
  <conditionalFormatting sqref="I111">
    <cfRule type="cellIs" dxfId="9113" priority="11217" operator="between">
      <formula>0.76</formula>
      <formula>0.95</formula>
    </cfRule>
    <cfRule type="cellIs" dxfId="9112" priority="11218" operator="between">
      <formula>0.51</formula>
      <formula>0.75</formula>
    </cfRule>
    <cfRule type="cellIs" dxfId="9111" priority="11219" operator="greaterThan">
      <formula>1</formula>
    </cfRule>
    <cfRule type="cellIs" dxfId="9110" priority="11220" operator="between">
      <formula>0.95</formula>
      <formula>1</formula>
    </cfRule>
    <cfRule type="cellIs" dxfId="9109" priority="11221" stopIfTrue="1" operator="between">
      <formula>0</formula>
      <formula>0.5</formula>
    </cfRule>
  </conditionalFormatting>
  <conditionalFormatting sqref="I112">
    <cfRule type="cellIs" dxfId="9108" priority="11212" operator="between">
      <formula>0.76</formula>
      <formula>0.95</formula>
    </cfRule>
    <cfRule type="cellIs" dxfId="9107" priority="11213" operator="between">
      <formula>0.51</formula>
      <formula>0.75</formula>
    </cfRule>
    <cfRule type="cellIs" dxfId="9106" priority="11214" operator="greaterThan">
      <formula>1</formula>
    </cfRule>
    <cfRule type="cellIs" dxfId="9105" priority="11215" operator="between">
      <formula>0.95</formula>
      <formula>1</formula>
    </cfRule>
    <cfRule type="cellIs" dxfId="9104" priority="11216" stopIfTrue="1" operator="between">
      <formula>0</formula>
      <formula>0.5</formula>
    </cfRule>
  </conditionalFormatting>
  <conditionalFormatting sqref="I113">
    <cfRule type="cellIs" dxfId="9103" priority="11207" operator="between">
      <formula>0.76</formula>
      <formula>0.95</formula>
    </cfRule>
    <cfRule type="cellIs" dxfId="9102" priority="11208" operator="between">
      <formula>0.51</formula>
      <formula>0.75</formula>
    </cfRule>
    <cfRule type="cellIs" dxfId="9101" priority="11209" operator="greaterThan">
      <formula>1</formula>
    </cfRule>
    <cfRule type="cellIs" dxfId="9100" priority="11210" operator="between">
      <formula>0.95</formula>
      <formula>1</formula>
    </cfRule>
    <cfRule type="cellIs" dxfId="9099" priority="11211" stopIfTrue="1" operator="between">
      <formula>0</formula>
      <formula>0.5</formula>
    </cfRule>
  </conditionalFormatting>
  <conditionalFormatting sqref="I114">
    <cfRule type="cellIs" dxfId="9098" priority="11197" operator="between">
      <formula>0.76</formula>
      <formula>0.95</formula>
    </cfRule>
    <cfRule type="cellIs" dxfId="9097" priority="11198" operator="between">
      <formula>0.51</formula>
      <formula>0.75</formula>
    </cfRule>
    <cfRule type="cellIs" dxfId="9096" priority="11199" operator="greaterThan">
      <formula>1</formula>
    </cfRule>
    <cfRule type="cellIs" dxfId="9095" priority="11200" operator="between">
      <formula>0.95</formula>
      <formula>1</formula>
    </cfRule>
    <cfRule type="cellIs" dxfId="9094" priority="11201" stopIfTrue="1" operator="between">
      <formula>0</formula>
      <formula>0.5</formula>
    </cfRule>
  </conditionalFormatting>
  <conditionalFormatting sqref="I115">
    <cfRule type="cellIs" dxfId="9093" priority="11192" operator="between">
      <formula>0.76</formula>
      <formula>0.95</formula>
    </cfRule>
    <cfRule type="cellIs" dxfId="9092" priority="11193" operator="between">
      <formula>0.51</formula>
      <formula>0.75</formula>
    </cfRule>
    <cfRule type="cellIs" dxfId="9091" priority="11194" operator="greaterThan">
      <formula>1</formula>
    </cfRule>
    <cfRule type="cellIs" dxfId="9090" priority="11195" operator="between">
      <formula>0.95</formula>
      <formula>1</formula>
    </cfRule>
    <cfRule type="cellIs" dxfId="9089" priority="11196" stopIfTrue="1" operator="between">
      <formula>0</formula>
      <formula>0.5</formula>
    </cfRule>
  </conditionalFormatting>
  <conditionalFormatting sqref="I116">
    <cfRule type="cellIs" dxfId="9088" priority="11187" operator="between">
      <formula>0.76</formula>
      <formula>0.95</formula>
    </cfRule>
    <cfRule type="cellIs" dxfId="9087" priority="11188" operator="between">
      <formula>0.51</formula>
      <formula>0.75</formula>
    </cfRule>
    <cfRule type="cellIs" dxfId="9086" priority="11189" operator="greaterThan">
      <formula>1</formula>
    </cfRule>
    <cfRule type="cellIs" dxfId="9085" priority="11190" operator="between">
      <formula>0.95</formula>
      <formula>1</formula>
    </cfRule>
    <cfRule type="cellIs" dxfId="9084" priority="11191" stopIfTrue="1" operator="between">
      <formula>0</formula>
      <formula>0.5</formula>
    </cfRule>
  </conditionalFormatting>
  <conditionalFormatting sqref="I117">
    <cfRule type="cellIs" dxfId="9083" priority="11182" operator="between">
      <formula>0.76</formula>
      <formula>0.95</formula>
    </cfRule>
    <cfRule type="cellIs" dxfId="9082" priority="11183" operator="between">
      <formula>0.51</formula>
      <formula>0.75</formula>
    </cfRule>
    <cfRule type="cellIs" dxfId="9081" priority="11184" operator="greaterThan">
      <formula>1</formula>
    </cfRule>
    <cfRule type="cellIs" dxfId="9080" priority="11185" operator="between">
      <formula>0.95</formula>
      <formula>1</formula>
    </cfRule>
    <cfRule type="cellIs" dxfId="9079" priority="11186" stopIfTrue="1" operator="between">
      <formula>0</formula>
      <formula>0.5</formula>
    </cfRule>
  </conditionalFormatting>
  <conditionalFormatting sqref="I118">
    <cfRule type="cellIs" dxfId="9078" priority="11177" operator="between">
      <formula>0.76</formula>
      <formula>0.95</formula>
    </cfRule>
    <cfRule type="cellIs" dxfId="9077" priority="11178" operator="between">
      <formula>0.51</formula>
      <formula>0.75</formula>
    </cfRule>
    <cfRule type="cellIs" dxfId="9076" priority="11179" operator="greaterThan">
      <formula>1</formula>
    </cfRule>
    <cfRule type="cellIs" dxfId="9075" priority="11180" operator="between">
      <formula>0.95</formula>
      <formula>1</formula>
    </cfRule>
    <cfRule type="cellIs" dxfId="9074" priority="11181" stopIfTrue="1" operator="between">
      <formula>0</formula>
      <formula>0.5</formula>
    </cfRule>
  </conditionalFormatting>
  <conditionalFormatting sqref="I119">
    <cfRule type="cellIs" dxfId="9073" priority="11172" operator="between">
      <formula>0.76</formula>
      <formula>0.95</formula>
    </cfRule>
    <cfRule type="cellIs" dxfId="9072" priority="11173" operator="between">
      <formula>0.51</formula>
      <formula>0.75</formula>
    </cfRule>
    <cfRule type="cellIs" dxfId="9071" priority="11174" operator="greaterThan">
      <formula>1</formula>
    </cfRule>
    <cfRule type="cellIs" dxfId="9070" priority="11175" operator="between">
      <formula>0.95</formula>
      <formula>1</formula>
    </cfRule>
    <cfRule type="cellIs" dxfId="9069" priority="11176" stopIfTrue="1" operator="between">
      <formula>0</formula>
      <formula>0.5</formula>
    </cfRule>
  </conditionalFormatting>
  <conditionalFormatting sqref="I120">
    <cfRule type="cellIs" dxfId="9068" priority="11167" operator="between">
      <formula>0.76</formula>
      <formula>0.95</formula>
    </cfRule>
    <cfRule type="cellIs" dxfId="9067" priority="11168" operator="between">
      <formula>0.51</formula>
      <formula>0.75</formula>
    </cfRule>
    <cfRule type="cellIs" dxfId="9066" priority="11169" operator="greaterThan">
      <formula>1</formula>
    </cfRule>
    <cfRule type="cellIs" dxfId="9065" priority="11170" operator="between">
      <formula>0.95</formula>
      <formula>1</formula>
    </cfRule>
    <cfRule type="cellIs" dxfId="9064" priority="11171" stopIfTrue="1" operator="between">
      <formula>0</formula>
      <formula>0.5</formula>
    </cfRule>
  </conditionalFormatting>
  <conditionalFormatting sqref="I121">
    <cfRule type="cellIs" dxfId="9063" priority="11162" operator="between">
      <formula>0.76</formula>
      <formula>0.95</formula>
    </cfRule>
    <cfRule type="cellIs" dxfId="9062" priority="11163" operator="between">
      <formula>0.51</formula>
      <formula>0.75</formula>
    </cfRule>
    <cfRule type="cellIs" dxfId="9061" priority="11164" operator="greaterThan">
      <formula>1</formula>
    </cfRule>
    <cfRule type="cellIs" dxfId="9060" priority="11165" operator="between">
      <formula>0.95</formula>
      <formula>1</formula>
    </cfRule>
    <cfRule type="cellIs" dxfId="9059" priority="11166" stopIfTrue="1" operator="between">
      <formula>0</formula>
      <formula>0.5</formula>
    </cfRule>
  </conditionalFormatting>
  <conditionalFormatting sqref="I122">
    <cfRule type="cellIs" dxfId="9058" priority="11157" operator="between">
      <formula>0.76</formula>
      <formula>0.95</formula>
    </cfRule>
    <cfRule type="cellIs" dxfId="9057" priority="11158" operator="between">
      <formula>0.51</formula>
      <formula>0.75</formula>
    </cfRule>
    <cfRule type="cellIs" dxfId="9056" priority="11159" operator="greaterThan">
      <formula>1</formula>
    </cfRule>
    <cfRule type="cellIs" dxfId="9055" priority="11160" operator="between">
      <formula>0.95</formula>
      <formula>1</formula>
    </cfRule>
    <cfRule type="cellIs" dxfId="9054" priority="11161" stopIfTrue="1" operator="between">
      <formula>0</formula>
      <formula>0.5</formula>
    </cfRule>
  </conditionalFormatting>
  <conditionalFormatting sqref="I123">
    <cfRule type="cellIs" dxfId="9053" priority="11152" operator="between">
      <formula>0.76</formula>
      <formula>0.95</formula>
    </cfRule>
    <cfRule type="cellIs" dxfId="9052" priority="11153" operator="between">
      <formula>0.51</formula>
      <formula>0.75</formula>
    </cfRule>
    <cfRule type="cellIs" dxfId="9051" priority="11154" operator="greaterThan">
      <formula>1</formula>
    </cfRule>
    <cfRule type="cellIs" dxfId="9050" priority="11155" operator="between">
      <formula>0.95</formula>
      <formula>1</formula>
    </cfRule>
    <cfRule type="cellIs" dxfId="9049" priority="11156" stopIfTrue="1" operator="between">
      <formula>0</formula>
      <formula>0.5</formula>
    </cfRule>
  </conditionalFormatting>
  <conditionalFormatting sqref="I124">
    <cfRule type="cellIs" dxfId="9048" priority="11147" operator="between">
      <formula>0.76</formula>
      <formula>0.95</formula>
    </cfRule>
    <cfRule type="cellIs" dxfId="9047" priority="11148" operator="between">
      <formula>0.51</formula>
      <formula>0.75</formula>
    </cfRule>
    <cfRule type="cellIs" dxfId="9046" priority="11149" operator="greaterThan">
      <formula>1</formula>
    </cfRule>
    <cfRule type="cellIs" dxfId="9045" priority="11150" operator="between">
      <formula>0.95</formula>
      <formula>1</formula>
    </cfRule>
    <cfRule type="cellIs" dxfId="9044" priority="11151" stopIfTrue="1" operator="between">
      <formula>0</formula>
      <formula>0.5</formula>
    </cfRule>
  </conditionalFormatting>
  <conditionalFormatting sqref="I125">
    <cfRule type="cellIs" dxfId="9043" priority="11142" operator="between">
      <formula>0.76</formula>
      <formula>0.95</formula>
    </cfRule>
    <cfRule type="cellIs" dxfId="9042" priority="11143" operator="between">
      <formula>0.51</formula>
      <formula>0.75</formula>
    </cfRule>
    <cfRule type="cellIs" dxfId="9041" priority="11144" operator="greaterThan">
      <formula>1</formula>
    </cfRule>
    <cfRule type="cellIs" dxfId="9040" priority="11145" operator="between">
      <formula>0.95</formula>
      <formula>1</formula>
    </cfRule>
    <cfRule type="cellIs" dxfId="9039" priority="11146" stopIfTrue="1" operator="between">
      <formula>0</formula>
      <formula>0.5</formula>
    </cfRule>
  </conditionalFormatting>
  <conditionalFormatting sqref="I126">
    <cfRule type="cellIs" dxfId="9038" priority="11137" operator="between">
      <formula>0.76</formula>
      <formula>0.95</formula>
    </cfRule>
    <cfRule type="cellIs" dxfId="9037" priority="11138" operator="between">
      <formula>0.51</formula>
      <formula>0.75</formula>
    </cfRule>
    <cfRule type="cellIs" dxfId="9036" priority="11139" operator="greaterThan">
      <formula>1</formula>
    </cfRule>
    <cfRule type="cellIs" dxfId="9035" priority="11140" operator="between">
      <formula>0.95</formula>
      <formula>1</formula>
    </cfRule>
    <cfRule type="cellIs" dxfId="9034" priority="11141" stopIfTrue="1" operator="between">
      <formula>0</formula>
      <formula>0.5</formula>
    </cfRule>
  </conditionalFormatting>
  <conditionalFormatting sqref="I127">
    <cfRule type="cellIs" dxfId="9033" priority="11132" operator="between">
      <formula>0.76</formula>
      <formula>0.95</formula>
    </cfRule>
    <cfRule type="cellIs" dxfId="9032" priority="11133" operator="between">
      <formula>0.51</formula>
      <formula>0.75</formula>
    </cfRule>
    <cfRule type="cellIs" dxfId="9031" priority="11134" operator="greaterThan">
      <formula>1</formula>
    </cfRule>
    <cfRule type="cellIs" dxfId="9030" priority="11135" operator="between">
      <formula>0.95</formula>
      <formula>1</formula>
    </cfRule>
    <cfRule type="cellIs" dxfId="9029" priority="11136" stopIfTrue="1" operator="between">
      <formula>0</formula>
      <formula>0.5</formula>
    </cfRule>
  </conditionalFormatting>
  <conditionalFormatting sqref="I128">
    <cfRule type="cellIs" dxfId="9028" priority="11127" operator="between">
      <formula>0.76</formula>
      <formula>0.95</formula>
    </cfRule>
    <cfRule type="cellIs" dxfId="9027" priority="11128" operator="between">
      <formula>0.51</formula>
      <formula>0.75</formula>
    </cfRule>
    <cfRule type="cellIs" dxfId="9026" priority="11129" operator="greaterThan">
      <formula>1</formula>
    </cfRule>
    <cfRule type="cellIs" dxfId="9025" priority="11130" operator="between">
      <formula>0.95</formula>
      <formula>1</formula>
    </cfRule>
    <cfRule type="cellIs" dxfId="9024" priority="11131" stopIfTrue="1" operator="between">
      <formula>0</formula>
      <formula>0.5</formula>
    </cfRule>
  </conditionalFormatting>
  <conditionalFormatting sqref="I129">
    <cfRule type="cellIs" dxfId="9023" priority="11122" operator="between">
      <formula>0.76</formula>
      <formula>0.95</formula>
    </cfRule>
    <cfRule type="cellIs" dxfId="9022" priority="11123" operator="between">
      <formula>0.51</formula>
      <formula>0.75</formula>
    </cfRule>
    <cfRule type="cellIs" dxfId="9021" priority="11124" operator="greaterThan">
      <formula>1</formula>
    </cfRule>
    <cfRule type="cellIs" dxfId="9020" priority="11125" operator="between">
      <formula>0.95</formula>
      <formula>1</formula>
    </cfRule>
    <cfRule type="cellIs" dxfId="9019" priority="11126" stopIfTrue="1" operator="between">
      <formula>0</formula>
      <formula>0.5</formula>
    </cfRule>
  </conditionalFormatting>
  <conditionalFormatting sqref="I130">
    <cfRule type="cellIs" dxfId="9018" priority="11117" operator="between">
      <formula>0.76</formula>
      <formula>0.95</formula>
    </cfRule>
    <cfRule type="cellIs" dxfId="9017" priority="11118" operator="between">
      <formula>0.51</formula>
      <formula>0.75</formula>
    </cfRule>
    <cfRule type="cellIs" dxfId="9016" priority="11119" operator="greaterThan">
      <formula>1</formula>
    </cfRule>
    <cfRule type="cellIs" dxfId="9015" priority="11120" operator="between">
      <formula>0.95</formula>
      <formula>1</formula>
    </cfRule>
    <cfRule type="cellIs" dxfId="9014" priority="11121" stopIfTrue="1" operator="between">
      <formula>0</formula>
      <formula>0.5</formula>
    </cfRule>
  </conditionalFormatting>
  <conditionalFormatting sqref="I131">
    <cfRule type="cellIs" dxfId="9013" priority="11112" operator="between">
      <formula>0.76</formula>
      <formula>0.95</formula>
    </cfRule>
    <cfRule type="cellIs" dxfId="9012" priority="11113" operator="between">
      <formula>0.51</formula>
      <formula>0.75</formula>
    </cfRule>
    <cfRule type="cellIs" dxfId="9011" priority="11114" operator="greaterThan">
      <formula>1</formula>
    </cfRule>
    <cfRule type="cellIs" dxfId="9010" priority="11115" operator="between">
      <formula>0.95</formula>
      <formula>1</formula>
    </cfRule>
    <cfRule type="cellIs" dxfId="9009" priority="11116" stopIfTrue="1" operator="between">
      <formula>0</formula>
      <formula>0.5</formula>
    </cfRule>
  </conditionalFormatting>
  <conditionalFormatting sqref="I132">
    <cfRule type="cellIs" dxfId="9008" priority="11107" operator="between">
      <formula>0.76</formula>
      <formula>0.95</formula>
    </cfRule>
    <cfRule type="cellIs" dxfId="9007" priority="11108" operator="between">
      <formula>0.51</formula>
      <formula>0.75</formula>
    </cfRule>
    <cfRule type="cellIs" dxfId="9006" priority="11109" operator="greaterThan">
      <formula>1</formula>
    </cfRule>
    <cfRule type="cellIs" dxfId="9005" priority="11110" operator="between">
      <formula>0.95</formula>
      <formula>1</formula>
    </cfRule>
    <cfRule type="cellIs" dxfId="9004" priority="11111" stopIfTrue="1" operator="between">
      <formula>0</formula>
      <formula>0.5</formula>
    </cfRule>
  </conditionalFormatting>
  <conditionalFormatting sqref="I133">
    <cfRule type="cellIs" dxfId="9003" priority="11102" operator="between">
      <formula>0.76</formula>
      <formula>0.95</formula>
    </cfRule>
    <cfRule type="cellIs" dxfId="9002" priority="11103" operator="between">
      <formula>0.51</formula>
      <formula>0.75</formula>
    </cfRule>
    <cfRule type="cellIs" dxfId="9001" priority="11104" operator="greaterThan">
      <formula>1</formula>
    </cfRule>
    <cfRule type="cellIs" dxfId="9000" priority="11105" operator="between">
      <formula>0.95</formula>
      <formula>1</formula>
    </cfRule>
    <cfRule type="cellIs" dxfId="8999" priority="11106" stopIfTrue="1" operator="between">
      <formula>0</formula>
      <formula>0.5</formula>
    </cfRule>
  </conditionalFormatting>
  <conditionalFormatting sqref="I134">
    <cfRule type="cellIs" dxfId="8998" priority="11097" operator="between">
      <formula>0.76</formula>
      <formula>0.95</formula>
    </cfRule>
    <cfRule type="cellIs" dxfId="8997" priority="11098" operator="between">
      <formula>0.51</formula>
      <formula>0.75</formula>
    </cfRule>
    <cfRule type="cellIs" dxfId="8996" priority="11099" operator="greaterThan">
      <formula>1</formula>
    </cfRule>
    <cfRule type="cellIs" dxfId="8995" priority="11100" operator="between">
      <formula>0.95</formula>
      <formula>1</formula>
    </cfRule>
    <cfRule type="cellIs" dxfId="8994" priority="11101" stopIfTrue="1" operator="between">
      <formula>0</formula>
      <formula>0.5</formula>
    </cfRule>
  </conditionalFormatting>
  <conditionalFormatting sqref="I136">
    <cfRule type="cellIs" dxfId="8993" priority="11092" operator="between">
      <formula>0.76</formula>
      <formula>0.95</formula>
    </cfRule>
    <cfRule type="cellIs" dxfId="8992" priority="11093" operator="between">
      <formula>0.51</formula>
      <formula>0.75</formula>
    </cfRule>
    <cfRule type="cellIs" dxfId="8991" priority="11094" operator="greaterThan">
      <formula>1</formula>
    </cfRule>
    <cfRule type="cellIs" dxfId="8990" priority="11095" operator="between">
      <formula>0.95</formula>
      <formula>1</formula>
    </cfRule>
    <cfRule type="cellIs" dxfId="8989" priority="11096" stopIfTrue="1" operator="between">
      <formula>0</formula>
      <formula>0.5</formula>
    </cfRule>
  </conditionalFormatting>
  <conditionalFormatting sqref="I137">
    <cfRule type="cellIs" dxfId="8988" priority="11087" operator="between">
      <formula>0.76</formula>
      <formula>0.95</formula>
    </cfRule>
    <cfRule type="cellIs" dxfId="8987" priority="11088" operator="between">
      <formula>0.51</formula>
      <formula>0.75</formula>
    </cfRule>
    <cfRule type="cellIs" dxfId="8986" priority="11089" operator="greaterThan">
      <formula>1</formula>
    </cfRule>
    <cfRule type="cellIs" dxfId="8985" priority="11090" operator="between">
      <formula>0.95</formula>
      <formula>1</formula>
    </cfRule>
    <cfRule type="cellIs" dxfId="8984" priority="11091" stopIfTrue="1" operator="between">
      <formula>0</formula>
      <formula>0.5</formula>
    </cfRule>
  </conditionalFormatting>
  <conditionalFormatting sqref="I138">
    <cfRule type="cellIs" dxfId="8983" priority="11082" operator="between">
      <formula>0.76</formula>
      <formula>0.95</formula>
    </cfRule>
    <cfRule type="cellIs" dxfId="8982" priority="11083" operator="between">
      <formula>0.51</formula>
      <formula>0.75</formula>
    </cfRule>
    <cfRule type="cellIs" dxfId="8981" priority="11084" operator="greaterThan">
      <formula>1</formula>
    </cfRule>
    <cfRule type="cellIs" dxfId="8980" priority="11085" operator="between">
      <formula>0.95</formula>
      <formula>1</formula>
    </cfRule>
    <cfRule type="cellIs" dxfId="8979" priority="11086" stopIfTrue="1" operator="between">
      <formula>0</formula>
      <formula>0.5</formula>
    </cfRule>
  </conditionalFormatting>
  <conditionalFormatting sqref="I139">
    <cfRule type="cellIs" dxfId="8978" priority="11077" operator="between">
      <formula>0.76</formula>
      <formula>0.95</formula>
    </cfRule>
    <cfRule type="cellIs" dxfId="8977" priority="11078" operator="between">
      <formula>0.51</formula>
      <formula>0.75</formula>
    </cfRule>
    <cfRule type="cellIs" dxfId="8976" priority="11079" operator="greaterThan">
      <formula>1</formula>
    </cfRule>
    <cfRule type="cellIs" dxfId="8975" priority="11080" operator="between">
      <formula>0.95</formula>
      <formula>1</formula>
    </cfRule>
    <cfRule type="cellIs" dxfId="8974" priority="11081" stopIfTrue="1" operator="between">
      <formula>0</formula>
      <formula>0.5</formula>
    </cfRule>
  </conditionalFormatting>
  <conditionalFormatting sqref="I140">
    <cfRule type="cellIs" dxfId="8973" priority="11072" operator="between">
      <formula>0.76</formula>
      <formula>0.95</formula>
    </cfRule>
    <cfRule type="cellIs" dxfId="8972" priority="11073" operator="between">
      <formula>0.51</formula>
      <formula>0.75</formula>
    </cfRule>
    <cfRule type="cellIs" dxfId="8971" priority="11074" operator="greaterThan">
      <formula>1</formula>
    </cfRule>
    <cfRule type="cellIs" dxfId="8970" priority="11075" operator="between">
      <formula>0.95</formula>
      <formula>1</formula>
    </cfRule>
    <cfRule type="cellIs" dxfId="8969" priority="11076" stopIfTrue="1" operator="between">
      <formula>0</formula>
      <formula>0.5</formula>
    </cfRule>
  </conditionalFormatting>
  <conditionalFormatting sqref="I141">
    <cfRule type="cellIs" dxfId="8968" priority="11067" operator="between">
      <formula>0.76</formula>
      <formula>0.95</formula>
    </cfRule>
    <cfRule type="cellIs" dxfId="8967" priority="11068" operator="between">
      <formula>0.51</formula>
      <formula>0.75</formula>
    </cfRule>
    <cfRule type="cellIs" dxfId="8966" priority="11069" operator="greaterThan">
      <formula>1</formula>
    </cfRule>
    <cfRule type="cellIs" dxfId="8965" priority="11070" operator="between">
      <formula>0.95</formula>
      <formula>1</formula>
    </cfRule>
    <cfRule type="cellIs" dxfId="8964" priority="11071" stopIfTrue="1" operator="between">
      <formula>0</formula>
      <formula>0.5</formula>
    </cfRule>
  </conditionalFormatting>
  <conditionalFormatting sqref="I142">
    <cfRule type="cellIs" dxfId="8963" priority="11062" operator="between">
      <formula>0.76</formula>
      <formula>0.95</formula>
    </cfRule>
    <cfRule type="cellIs" dxfId="8962" priority="11063" operator="between">
      <formula>0.51</formula>
      <formula>0.75</formula>
    </cfRule>
    <cfRule type="cellIs" dxfId="8961" priority="11064" operator="greaterThan">
      <formula>1</formula>
    </cfRule>
    <cfRule type="cellIs" dxfId="8960" priority="11065" operator="between">
      <formula>0.95</formula>
      <formula>1</formula>
    </cfRule>
    <cfRule type="cellIs" dxfId="8959" priority="11066" stopIfTrue="1" operator="between">
      <formula>0</formula>
      <formula>0.5</formula>
    </cfRule>
  </conditionalFormatting>
  <conditionalFormatting sqref="I143">
    <cfRule type="cellIs" dxfId="8958" priority="11057" operator="between">
      <formula>0.76</formula>
      <formula>0.95</formula>
    </cfRule>
    <cfRule type="cellIs" dxfId="8957" priority="11058" operator="between">
      <formula>0.51</formula>
      <formula>0.75</formula>
    </cfRule>
    <cfRule type="cellIs" dxfId="8956" priority="11059" operator="greaterThan">
      <formula>1</formula>
    </cfRule>
    <cfRule type="cellIs" dxfId="8955" priority="11060" operator="between">
      <formula>0.95</formula>
      <formula>1</formula>
    </cfRule>
    <cfRule type="cellIs" dxfId="8954" priority="11061" stopIfTrue="1" operator="between">
      <formula>0</formula>
      <formula>0.5</formula>
    </cfRule>
  </conditionalFormatting>
  <conditionalFormatting sqref="I144">
    <cfRule type="cellIs" dxfId="8953" priority="11052" operator="between">
      <formula>0.76</formula>
      <formula>0.95</formula>
    </cfRule>
    <cfRule type="cellIs" dxfId="8952" priority="11053" operator="between">
      <formula>0.51</formula>
      <formula>0.75</formula>
    </cfRule>
    <cfRule type="cellIs" dxfId="8951" priority="11054" operator="greaterThan">
      <formula>1</formula>
    </cfRule>
    <cfRule type="cellIs" dxfId="8950" priority="11055" operator="between">
      <formula>0.95</formula>
      <formula>1</formula>
    </cfRule>
    <cfRule type="cellIs" dxfId="8949" priority="11056" stopIfTrue="1" operator="between">
      <formula>0</formula>
      <formula>0.5</formula>
    </cfRule>
  </conditionalFormatting>
  <conditionalFormatting sqref="I145">
    <cfRule type="cellIs" dxfId="8948" priority="11047" operator="between">
      <formula>0.76</formula>
      <formula>0.95</formula>
    </cfRule>
    <cfRule type="cellIs" dxfId="8947" priority="11048" operator="between">
      <formula>0.51</formula>
      <formula>0.75</formula>
    </cfRule>
    <cfRule type="cellIs" dxfId="8946" priority="11049" operator="greaterThan">
      <formula>1</formula>
    </cfRule>
    <cfRule type="cellIs" dxfId="8945" priority="11050" operator="between">
      <formula>0.95</formula>
      <formula>1</formula>
    </cfRule>
    <cfRule type="cellIs" dxfId="8944" priority="11051" stopIfTrue="1" operator="between">
      <formula>0</formula>
      <formula>0.5</formula>
    </cfRule>
  </conditionalFormatting>
  <conditionalFormatting sqref="I146">
    <cfRule type="cellIs" dxfId="8943" priority="11042" operator="between">
      <formula>0.76</formula>
      <formula>0.95</formula>
    </cfRule>
    <cfRule type="cellIs" dxfId="8942" priority="11043" operator="between">
      <formula>0.51</formula>
      <formula>0.75</formula>
    </cfRule>
    <cfRule type="cellIs" dxfId="8941" priority="11044" operator="greaterThan">
      <formula>1</formula>
    </cfRule>
    <cfRule type="cellIs" dxfId="8940" priority="11045" operator="between">
      <formula>0.95</formula>
      <formula>1</formula>
    </cfRule>
    <cfRule type="cellIs" dxfId="8939" priority="11046" stopIfTrue="1" operator="between">
      <formula>0</formula>
      <formula>0.5</formula>
    </cfRule>
  </conditionalFormatting>
  <conditionalFormatting sqref="I147">
    <cfRule type="cellIs" dxfId="8938" priority="11037" operator="between">
      <formula>0.76</formula>
      <formula>0.95</formula>
    </cfRule>
    <cfRule type="cellIs" dxfId="8937" priority="11038" operator="between">
      <formula>0.51</formula>
      <formula>0.75</formula>
    </cfRule>
    <cfRule type="cellIs" dxfId="8936" priority="11039" operator="greaterThan">
      <formula>1</formula>
    </cfRule>
    <cfRule type="cellIs" dxfId="8935" priority="11040" operator="between">
      <formula>0.95</formula>
      <formula>1</formula>
    </cfRule>
    <cfRule type="cellIs" dxfId="8934" priority="11041" stopIfTrue="1" operator="between">
      <formula>0</formula>
      <formula>0.5</formula>
    </cfRule>
  </conditionalFormatting>
  <conditionalFormatting sqref="I148">
    <cfRule type="cellIs" dxfId="8933" priority="11032" operator="between">
      <formula>0.76</formula>
      <formula>0.95</formula>
    </cfRule>
    <cfRule type="cellIs" dxfId="8932" priority="11033" operator="between">
      <formula>0.51</formula>
      <formula>0.75</formula>
    </cfRule>
    <cfRule type="cellIs" dxfId="8931" priority="11034" operator="greaterThan">
      <formula>1</formula>
    </cfRule>
    <cfRule type="cellIs" dxfId="8930" priority="11035" operator="between">
      <formula>0.95</formula>
      <formula>1</formula>
    </cfRule>
    <cfRule type="cellIs" dxfId="8929" priority="11036" stopIfTrue="1" operator="between">
      <formula>0</formula>
      <formula>0.5</formula>
    </cfRule>
  </conditionalFormatting>
  <conditionalFormatting sqref="I149">
    <cfRule type="cellIs" dxfId="8928" priority="11027" operator="between">
      <formula>0.76</formula>
      <formula>0.95</formula>
    </cfRule>
    <cfRule type="cellIs" dxfId="8927" priority="11028" operator="between">
      <formula>0.51</formula>
      <formula>0.75</formula>
    </cfRule>
    <cfRule type="cellIs" dxfId="8926" priority="11029" operator="greaterThan">
      <formula>1</formula>
    </cfRule>
    <cfRule type="cellIs" dxfId="8925" priority="11030" operator="between">
      <formula>0.95</formula>
      <formula>1</formula>
    </cfRule>
    <cfRule type="cellIs" dxfId="8924" priority="11031" stopIfTrue="1" operator="between">
      <formula>0</formula>
      <formula>0.5</formula>
    </cfRule>
  </conditionalFormatting>
  <conditionalFormatting sqref="I150">
    <cfRule type="cellIs" dxfId="8923" priority="11022" operator="between">
      <formula>0.76</formula>
      <formula>0.95</formula>
    </cfRule>
    <cfRule type="cellIs" dxfId="8922" priority="11023" operator="between">
      <formula>0.51</formula>
      <formula>0.75</formula>
    </cfRule>
    <cfRule type="cellIs" dxfId="8921" priority="11024" operator="greaterThan">
      <formula>1</formula>
    </cfRule>
    <cfRule type="cellIs" dxfId="8920" priority="11025" operator="between">
      <formula>0.95</formula>
      <formula>1</formula>
    </cfRule>
    <cfRule type="cellIs" dxfId="8919" priority="11026" stopIfTrue="1" operator="between">
      <formula>0</formula>
      <formula>0.5</formula>
    </cfRule>
  </conditionalFormatting>
  <conditionalFormatting sqref="I151">
    <cfRule type="cellIs" dxfId="8918" priority="11017" operator="between">
      <formula>0.76</formula>
      <formula>0.95</formula>
    </cfRule>
    <cfRule type="cellIs" dxfId="8917" priority="11018" operator="between">
      <formula>0.51</formula>
      <formula>0.75</formula>
    </cfRule>
    <cfRule type="cellIs" dxfId="8916" priority="11019" operator="greaterThan">
      <formula>1</formula>
    </cfRule>
    <cfRule type="cellIs" dxfId="8915" priority="11020" operator="between">
      <formula>0.95</formula>
      <formula>1</formula>
    </cfRule>
    <cfRule type="cellIs" dxfId="8914" priority="11021" stopIfTrue="1" operator="between">
      <formula>0</formula>
      <formula>0.5</formula>
    </cfRule>
  </conditionalFormatting>
  <conditionalFormatting sqref="I152">
    <cfRule type="cellIs" dxfId="8913" priority="11012" operator="between">
      <formula>0.76</formula>
      <formula>0.95</formula>
    </cfRule>
    <cfRule type="cellIs" dxfId="8912" priority="11013" operator="between">
      <formula>0.51</formula>
      <formula>0.75</formula>
    </cfRule>
    <cfRule type="cellIs" dxfId="8911" priority="11014" operator="greaterThan">
      <formula>1</formula>
    </cfRule>
    <cfRule type="cellIs" dxfId="8910" priority="11015" operator="between">
      <formula>0.95</formula>
      <formula>1</formula>
    </cfRule>
    <cfRule type="cellIs" dxfId="8909" priority="11016" stopIfTrue="1" operator="between">
      <formula>0</formula>
      <formula>0.5</formula>
    </cfRule>
  </conditionalFormatting>
  <conditionalFormatting sqref="I153">
    <cfRule type="cellIs" dxfId="8908" priority="11007" operator="between">
      <formula>0.76</formula>
      <formula>0.95</formula>
    </cfRule>
    <cfRule type="cellIs" dxfId="8907" priority="11008" operator="between">
      <formula>0.51</formula>
      <formula>0.75</formula>
    </cfRule>
    <cfRule type="cellIs" dxfId="8906" priority="11009" operator="greaterThan">
      <formula>1</formula>
    </cfRule>
    <cfRule type="cellIs" dxfId="8905" priority="11010" operator="between">
      <formula>0.95</formula>
      <formula>1</formula>
    </cfRule>
    <cfRule type="cellIs" dxfId="8904" priority="11011" stopIfTrue="1" operator="between">
      <formula>0</formula>
      <formula>0.5</formula>
    </cfRule>
  </conditionalFormatting>
  <conditionalFormatting sqref="I154">
    <cfRule type="cellIs" dxfId="8903" priority="11002" operator="between">
      <formula>0.76</formula>
      <formula>0.95</formula>
    </cfRule>
    <cfRule type="cellIs" dxfId="8902" priority="11003" operator="between">
      <formula>0.51</formula>
      <formula>0.75</formula>
    </cfRule>
    <cfRule type="cellIs" dxfId="8901" priority="11004" operator="greaterThan">
      <formula>1</formula>
    </cfRule>
    <cfRule type="cellIs" dxfId="8900" priority="11005" operator="between">
      <formula>0.95</formula>
      <formula>1</formula>
    </cfRule>
    <cfRule type="cellIs" dxfId="8899" priority="11006" stopIfTrue="1" operator="between">
      <formula>0</formula>
      <formula>0.5</formula>
    </cfRule>
  </conditionalFormatting>
  <conditionalFormatting sqref="I155">
    <cfRule type="cellIs" dxfId="8898" priority="10997" operator="between">
      <formula>0.76</formula>
      <formula>0.95</formula>
    </cfRule>
    <cfRule type="cellIs" dxfId="8897" priority="10998" operator="between">
      <formula>0.51</formula>
      <formula>0.75</formula>
    </cfRule>
    <cfRule type="cellIs" dxfId="8896" priority="10999" operator="greaterThan">
      <formula>1</formula>
    </cfRule>
    <cfRule type="cellIs" dxfId="8895" priority="11000" operator="between">
      <formula>0.95</formula>
      <formula>1</formula>
    </cfRule>
    <cfRule type="cellIs" dxfId="8894" priority="11001" stopIfTrue="1" operator="between">
      <formula>0</formula>
      <formula>0.5</formula>
    </cfRule>
  </conditionalFormatting>
  <conditionalFormatting sqref="I156">
    <cfRule type="cellIs" dxfId="8893" priority="10992" operator="between">
      <formula>0.76</formula>
      <formula>0.95</formula>
    </cfRule>
    <cfRule type="cellIs" dxfId="8892" priority="10993" operator="between">
      <formula>0.51</formula>
      <formula>0.75</formula>
    </cfRule>
    <cfRule type="cellIs" dxfId="8891" priority="10994" operator="greaterThan">
      <formula>1</formula>
    </cfRule>
    <cfRule type="cellIs" dxfId="8890" priority="10995" operator="between">
      <formula>0.95</formula>
      <formula>1</formula>
    </cfRule>
    <cfRule type="cellIs" dxfId="8889" priority="10996" stopIfTrue="1" operator="between">
      <formula>0</formula>
      <formula>0.5</formula>
    </cfRule>
  </conditionalFormatting>
  <conditionalFormatting sqref="I157">
    <cfRule type="cellIs" dxfId="8888" priority="10987" operator="between">
      <formula>0.76</formula>
      <formula>0.95</formula>
    </cfRule>
    <cfRule type="cellIs" dxfId="8887" priority="10988" operator="between">
      <formula>0.51</formula>
      <formula>0.75</formula>
    </cfRule>
    <cfRule type="cellIs" dxfId="8886" priority="10989" operator="greaterThan">
      <formula>1</formula>
    </cfRule>
    <cfRule type="cellIs" dxfId="8885" priority="10990" operator="between">
      <formula>0.95</formula>
      <formula>1</formula>
    </cfRule>
    <cfRule type="cellIs" dxfId="8884" priority="10991" stopIfTrue="1" operator="between">
      <formula>0</formula>
      <formula>0.5</formula>
    </cfRule>
  </conditionalFormatting>
  <conditionalFormatting sqref="I158">
    <cfRule type="cellIs" dxfId="8883" priority="10982" operator="between">
      <formula>0.76</formula>
      <formula>0.95</formula>
    </cfRule>
    <cfRule type="cellIs" dxfId="8882" priority="10983" operator="between">
      <formula>0.51</formula>
      <formula>0.75</formula>
    </cfRule>
    <cfRule type="cellIs" dxfId="8881" priority="10984" operator="greaterThan">
      <formula>1</formula>
    </cfRule>
    <cfRule type="cellIs" dxfId="8880" priority="10985" operator="between">
      <formula>0.95</formula>
      <formula>1</formula>
    </cfRule>
    <cfRule type="cellIs" dxfId="8879" priority="10986" stopIfTrue="1" operator="between">
      <formula>0</formula>
      <formula>0.5</formula>
    </cfRule>
  </conditionalFormatting>
  <conditionalFormatting sqref="I159">
    <cfRule type="cellIs" dxfId="8878" priority="10977" operator="between">
      <formula>0.76</formula>
      <formula>0.95</formula>
    </cfRule>
    <cfRule type="cellIs" dxfId="8877" priority="10978" operator="between">
      <formula>0.51</formula>
      <formula>0.75</formula>
    </cfRule>
    <cfRule type="cellIs" dxfId="8876" priority="10979" operator="greaterThan">
      <formula>1</formula>
    </cfRule>
    <cfRule type="cellIs" dxfId="8875" priority="10980" operator="between">
      <formula>0.95</formula>
      <formula>1</formula>
    </cfRule>
    <cfRule type="cellIs" dxfId="8874" priority="10981" stopIfTrue="1" operator="between">
      <formula>0</formula>
      <formula>0.5</formula>
    </cfRule>
  </conditionalFormatting>
  <conditionalFormatting sqref="I160">
    <cfRule type="cellIs" dxfId="8873" priority="10972" operator="between">
      <formula>0.76</formula>
      <formula>0.95</formula>
    </cfRule>
    <cfRule type="cellIs" dxfId="8872" priority="10973" operator="between">
      <formula>0.51</formula>
      <formula>0.75</formula>
    </cfRule>
    <cfRule type="cellIs" dxfId="8871" priority="10974" operator="greaterThan">
      <formula>1</formula>
    </cfRule>
    <cfRule type="cellIs" dxfId="8870" priority="10975" operator="between">
      <formula>0.95</formula>
      <formula>1</formula>
    </cfRule>
    <cfRule type="cellIs" dxfId="8869" priority="10976" stopIfTrue="1" operator="between">
      <formula>0</formula>
      <formula>0.5</formula>
    </cfRule>
  </conditionalFormatting>
  <conditionalFormatting sqref="I161">
    <cfRule type="cellIs" dxfId="8868" priority="10967" operator="between">
      <formula>0.76</formula>
      <formula>0.95</formula>
    </cfRule>
    <cfRule type="cellIs" dxfId="8867" priority="10968" operator="between">
      <formula>0.51</formula>
      <formula>0.75</formula>
    </cfRule>
    <cfRule type="cellIs" dxfId="8866" priority="10969" operator="greaterThan">
      <formula>1</formula>
    </cfRule>
    <cfRule type="cellIs" dxfId="8865" priority="10970" operator="between">
      <formula>0.95</formula>
      <formula>1</formula>
    </cfRule>
    <cfRule type="cellIs" dxfId="8864" priority="10971" stopIfTrue="1" operator="between">
      <formula>0</formula>
      <formula>0.5</formula>
    </cfRule>
  </conditionalFormatting>
  <conditionalFormatting sqref="I162">
    <cfRule type="cellIs" dxfId="8863" priority="10962" operator="between">
      <formula>0.76</formula>
      <formula>0.95</formula>
    </cfRule>
    <cfRule type="cellIs" dxfId="8862" priority="10963" operator="between">
      <formula>0.51</formula>
      <formula>0.75</formula>
    </cfRule>
    <cfRule type="cellIs" dxfId="8861" priority="10964" operator="greaterThan">
      <formula>1</formula>
    </cfRule>
    <cfRule type="cellIs" dxfId="8860" priority="10965" operator="between">
      <formula>0.95</formula>
      <formula>1</formula>
    </cfRule>
    <cfRule type="cellIs" dxfId="8859" priority="10966" stopIfTrue="1" operator="between">
      <formula>0</formula>
      <formula>0.5</formula>
    </cfRule>
  </conditionalFormatting>
  <conditionalFormatting sqref="I163">
    <cfRule type="cellIs" dxfId="8858" priority="10957" operator="between">
      <formula>0.76</formula>
      <formula>0.95</formula>
    </cfRule>
    <cfRule type="cellIs" dxfId="8857" priority="10958" operator="between">
      <formula>0.51</formula>
      <formula>0.75</formula>
    </cfRule>
    <cfRule type="cellIs" dxfId="8856" priority="10959" operator="greaterThan">
      <formula>1</formula>
    </cfRule>
    <cfRule type="cellIs" dxfId="8855" priority="10960" operator="between">
      <formula>0.95</formula>
      <formula>1</formula>
    </cfRule>
    <cfRule type="cellIs" dxfId="8854" priority="10961" stopIfTrue="1" operator="between">
      <formula>0</formula>
      <formula>0.5</formula>
    </cfRule>
  </conditionalFormatting>
  <conditionalFormatting sqref="I164">
    <cfRule type="cellIs" dxfId="8853" priority="10952" operator="between">
      <formula>0.76</formula>
      <formula>0.95</formula>
    </cfRule>
    <cfRule type="cellIs" dxfId="8852" priority="10953" operator="between">
      <formula>0.51</formula>
      <formula>0.75</formula>
    </cfRule>
    <cfRule type="cellIs" dxfId="8851" priority="10954" operator="greaterThan">
      <formula>1</formula>
    </cfRule>
    <cfRule type="cellIs" dxfId="8850" priority="10955" operator="between">
      <formula>0.95</formula>
      <formula>1</formula>
    </cfRule>
    <cfRule type="cellIs" dxfId="8849" priority="10956" stopIfTrue="1" operator="between">
      <formula>0</formula>
      <formula>0.5</formula>
    </cfRule>
  </conditionalFormatting>
  <conditionalFormatting sqref="I165">
    <cfRule type="cellIs" dxfId="8848" priority="10947" operator="between">
      <formula>0.76</formula>
      <formula>0.95</formula>
    </cfRule>
    <cfRule type="cellIs" dxfId="8847" priority="10948" operator="between">
      <formula>0.51</formula>
      <formula>0.75</formula>
    </cfRule>
    <cfRule type="cellIs" dxfId="8846" priority="10949" operator="greaterThan">
      <formula>1</formula>
    </cfRule>
    <cfRule type="cellIs" dxfId="8845" priority="10950" operator="between">
      <formula>0.95</formula>
      <formula>1</formula>
    </cfRule>
    <cfRule type="cellIs" dxfId="8844" priority="10951" stopIfTrue="1" operator="between">
      <formula>0</formula>
      <formula>0.5</formula>
    </cfRule>
  </conditionalFormatting>
  <conditionalFormatting sqref="I166">
    <cfRule type="cellIs" dxfId="8843" priority="10942" operator="between">
      <formula>0.76</formula>
      <formula>0.95</formula>
    </cfRule>
    <cfRule type="cellIs" dxfId="8842" priority="10943" operator="between">
      <formula>0.51</formula>
      <formula>0.75</formula>
    </cfRule>
    <cfRule type="cellIs" dxfId="8841" priority="10944" operator="greaterThan">
      <formula>1</formula>
    </cfRule>
    <cfRule type="cellIs" dxfId="8840" priority="10945" operator="between">
      <formula>0.95</formula>
      <formula>1</formula>
    </cfRule>
    <cfRule type="cellIs" dxfId="8839" priority="10946" stopIfTrue="1" operator="between">
      <formula>0</formula>
      <formula>0.5</formula>
    </cfRule>
  </conditionalFormatting>
  <conditionalFormatting sqref="I167">
    <cfRule type="cellIs" dxfId="8838" priority="10932" operator="between">
      <formula>0.76</formula>
      <formula>0.95</formula>
    </cfRule>
    <cfRule type="cellIs" dxfId="8837" priority="10933" operator="between">
      <formula>0.51</formula>
      <formula>0.75</formula>
    </cfRule>
    <cfRule type="cellIs" dxfId="8836" priority="10934" operator="greaterThan">
      <formula>1</formula>
    </cfRule>
    <cfRule type="cellIs" dxfId="8835" priority="10935" operator="between">
      <formula>0.95</formula>
      <formula>1</formula>
    </cfRule>
    <cfRule type="cellIs" dxfId="8834" priority="10936" stopIfTrue="1" operator="between">
      <formula>0</formula>
      <formula>0.5</formula>
    </cfRule>
  </conditionalFormatting>
  <conditionalFormatting sqref="I168">
    <cfRule type="cellIs" dxfId="8833" priority="10927" operator="between">
      <formula>0.76</formula>
      <formula>0.95</formula>
    </cfRule>
    <cfRule type="cellIs" dxfId="8832" priority="10928" operator="between">
      <formula>0.51</formula>
      <formula>0.75</formula>
    </cfRule>
    <cfRule type="cellIs" dxfId="8831" priority="10929" operator="greaterThan">
      <formula>1</formula>
    </cfRule>
    <cfRule type="cellIs" dxfId="8830" priority="10930" operator="between">
      <formula>0.95</formula>
      <formula>1</formula>
    </cfRule>
    <cfRule type="cellIs" dxfId="8829" priority="10931" stopIfTrue="1" operator="between">
      <formula>0</formula>
      <formula>0.5</formula>
    </cfRule>
  </conditionalFormatting>
  <conditionalFormatting sqref="I169">
    <cfRule type="cellIs" dxfId="8828" priority="10922" operator="between">
      <formula>0.76</formula>
      <formula>0.95</formula>
    </cfRule>
    <cfRule type="cellIs" dxfId="8827" priority="10923" operator="between">
      <formula>0.51</formula>
      <formula>0.75</formula>
    </cfRule>
    <cfRule type="cellIs" dxfId="8826" priority="10924" operator="greaterThan">
      <formula>1</formula>
    </cfRule>
    <cfRule type="cellIs" dxfId="8825" priority="10925" operator="between">
      <formula>0.95</formula>
      <formula>1</formula>
    </cfRule>
    <cfRule type="cellIs" dxfId="8824" priority="10926" stopIfTrue="1" operator="between">
      <formula>0</formula>
      <formula>0.5</formula>
    </cfRule>
  </conditionalFormatting>
  <conditionalFormatting sqref="I170">
    <cfRule type="cellIs" dxfId="8823" priority="10917" operator="between">
      <formula>0.76</formula>
      <formula>0.95</formula>
    </cfRule>
    <cfRule type="cellIs" dxfId="8822" priority="10918" operator="between">
      <formula>0.51</formula>
      <formula>0.75</formula>
    </cfRule>
    <cfRule type="cellIs" dxfId="8821" priority="10919" operator="greaterThan">
      <formula>1</formula>
    </cfRule>
    <cfRule type="cellIs" dxfId="8820" priority="10920" operator="between">
      <formula>0.95</formula>
      <formula>1</formula>
    </cfRule>
    <cfRule type="cellIs" dxfId="8819" priority="10921" stopIfTrue="1" operator="between">
      <formula>0</formula>
      <formula>0.5</formula>
    </cfRule>
  </conditionalFormatting>
  <conditionalFormatting sqref="I171">
    <cfRule type="cellIs" dxfId="8818" priority="10912" operator="between">
      <formula>0.76</formula>
      <formula>0.95</formula>
    </cfRule>
    <cfRule type="cellIs" dxfId="8817" priority="10913" operator="between">
      <formula>0.51</formula>
      <formula>0.75</formula>
    </cfRule>
    <cfRule type="cellIs" dxfId="8816" priority="10914" operator="greaterThan">
      <formula>1</formula>
    </cfRule>
    <cfRule type="cellIs" dxfId="8815" priority="10915" operator="between">
      <formula>0.95</formula>
      <formula>1</formula>
    </cfRule>
    <cfRule type="cellIs" dxfId="8814" priority="10916" stopIfTrue="1" operator="between">
      <formula>0</formula>
      <formula>0.5</formula>
    </cfRule>
  </conditionalFormatting>
  <conditionalFormatting sqref="I173">
    <cfRule type="cellIs" dxfId="8813" priority="10907" operator="between">
      <formula>0.76</formula>
      <formula>0.95</formula>
    </cfRule>
    <cfRule type="cellIs" dxfId="8812" priority="10908" operator="between">
      <formula>0.51</formula>
      <formula>0.75</formula>
    </cfRule>
    <cfRule type="cellIs" dxfId="8811" priority="10909" operator="greaterThan">
      <formula>1</formula>
    </cfRule>
    <cfRule type="cellIs" dxfId="8810" priority="10910" operator="between">
      <formula>0.95</formula>
      <formula>1</formula>
    </cfRule>
    <cfRule type="cellIs" dxfId="8809" priority="10911" stopIfTrue="1" operator="between">
      <formula>0</formula>
      <formula>0.5</formula>
    </cfRule>
  </conditionalFormatting>
  <conditionalFormatting sqref="I172">
    <cfRule type="cellIs" dxfId="8808" priority="10902" operator="between">
      <formula>0.76</formula>
      <formula>0.95</formula>
    </cfRule>
    <cfRule type="cellIs" dxfId="8807" priority="10903" operator="between">
      <formula>0.51</formula>
      <formula>0.75</formula>
    </cfRule>
    <cfRule type="cellIs" dxfId="8806" priority="10904" operator="greaterThan">
      <formula>1</formula>
    </cfRule>
    <cfRule type="cellIs" dxfId="8805" priority="10905" operator="between">
      <formula>0.95</formula>
      <formula>1</formula>
    </cfRule>
    <cfRule type="cellIs" dxfId="8804" priority="10906" stopIfTrue="1" operator="between">
      <formula>0</formula>
      <formula>0.5</formula>
    </cfRule>
  </conditionalFormatting>
  <conditionalFormatting sqref="I174">
    <cfRule type="cellIs" dxfId="8803" priority="10897" operator="between">
      <formula>0.76</formula>
      <formula>0.95</formula>
    </cfRule>
    <cfRule type="cellIs" dxfId="8802" priority="10898" operator="between">
      <formula>0.51</formula>
      <formula>0.75</formula>
    </cfRule>
    <cfRule type="cellIs" dxfId="8801" priority="10899" operator="greaterThan">
      <formula>1</formula>
    </cfRule>
    <cfRule type="cellIs" dxfId="8800" priority="10900" operator="between">
      <formula>0.95</formula>
      <formula>1</formula>
    </cfRule>
    <cfRule type="cellIs" dxfId="8799" priority="10901" stopIfTrue="1" operator="between">
      <formula>0</formula>
      <formula>0.5</formula>
    </cfRule>
  </conditionalFormatting>
  <conditionalFormatting sqref="I175">
    <cfRule type="cellIs" dxfId="8798" priority="10892" operator="between">
      <formula>0.76</formula>
      <formula>0.95</formula>
    </cfRule>
    <cfRule type="cellIs" dxfId="8797" priority="10893" operator="between">
      <formula>0.51</formula>
      <formula>0.75</formula>
    </cfRule>
    <cfRule type="cellIs" dxfId="8796" priority="10894" operator="greaterThan">
      <formula>1</formula>
    </cfRule>
    <cfRule type="cellIs" dxfId="8795" priority="10895" operator="between">
      <formula>0.95</formula>
      <formula>1</formula>
    </cfRule>
    <cfRule type="cellIs" dxfId="8794" priority="10896" stopIfTrue="1" operator="between">
      <formula>0</formula>
      <formula>0.5</formula>
    </cfRule>
  </conditionalFormatting>
  <conditionalFormatting sqref="I176">
    <cfRule type="cellIs" dxfId="8793" priority="10887" operator="between">
      <formula>0.76</formula>
      <formula>0.95</formula>
    </cfRule>
    <cfRule type="cellIs" dxfId="8792" priority="10888" operator="between">
      <formula>0.51</formula>
      <formula>0.75</formula>
    </cfRule>
    <cfRule type="cellIs" dxfId="8791" priority="10889" operator="greaterThan">
      <formula>1</formula>
    </cfRule>
    <cfRule type="cellIs" dxfId="8790" priority="10890" operator="between">
      <formula>0.95</formula>
      <formula>1</formula>
    </cfRule>
    <cfRule type="cellIs" dxfId="8789" priority="10891" stopIfTrue="1" operator="between">
      <formula>0</formula>
      <formula>0.5</formula>
    </cfRule>
  </conditionalFormatting>
  <conditionalFormatting sqref="I177">
    <cfRule type="cellIs" dxfId="8788" priority="10882" operator="between">
      <formula>0.76</formula>
      <formula>0.95</formula>
    </cfRule>
    <cfRule type="cellIs" dxfId="8787" priority="10883" operator="between">
      <formula>0.51</formula>
      <formula>0.75</formula>
    </cfRule>
    <cfRule type="cellIs" dxfId="8786" priority="10884" operator="greaterThan">
      <formula>1</formula>
    </cfRule>
    <cfRule type="cellIs" dxfId="8785" priority="10885" operator="between">
      <formula>0.95</formula>
      <formula>1</formula>
    </cfRule>
    <cfRule type="cellIs" dxfId="8784" priority="10886" stopIfTrue="1" operator="between">
      <formula>0</formula>
      <formula>0.5</formula>
    </cfRule>
  </conditionalFormatting>
  <conditionalFormatting sqref="I178">
    <cfRule type="cellIs" dxfId="8783" priority="10877" operator="between">
      <formula>0.76</formula>
      <formula>0.95</formula>
    </cfRule>
    <cfRule type="cellIs" dxfId="8782" priority="10878" operator="between">
      <formula>0.51</formula>
      <formula>0.75</formula>
    </cfRule>
    <cfRule type="cellIs" dxfId="8781" priority="10879" operator="greaterThan">
      <formula>1</formula>
    </cfRule>
    <cfRule type="cellIs" dxfId="8780" priority="10880" operator="between">
      <formula>0.95</formula>
      <formula>1</formula>
    </cfRule>
    <cfRule type="cellIs" dxfId="8779" priority="10881" stopIfTrue="1" operator="between">
      <formula>0</formula>
      <formula>0.5</formula>
    </cfRule>
  </conditionalFormatting>
  <conditionalFormatting sqref="I179">
    <cfRule type="cellIs" dxfId="8778" priority="10872" operator="between">
      <formula>0.76</formula>
      <formula>0.95</formula>
    </cfRule>
    <cfRule type="cellIs" dxfId="8777" priority="10873" operator="between">
      <formula>0.51</formula>
      <formula>0.75</formula>
    </cfRule>
    <cfRule type="cellIs" dxfId="8776" priority="10874" operator="greaterThan">
      <formula>1</formula>
    </cfRule>
    <cfRule type="cellIs" dxfId="8775" priority="10875" operator="between">
      <formula>0.95</formula>
      <formula>1</formula>
    </cfRule>
    <cfRule type="cellIs" dxfId="8774" priority="10876" stopIfTrue="1" operator="between">
      <formula>0</formula>
      <formula>0.5</formula>
    </cfRule>
  </conditionalFormatting>
  <conditionalFormatting sqref="I180">
    <cfRule type="cellIs" dxfId="8773" priority="10867" operator="between">
      <formula>0.76</formula>
      <formula>0.95</formula>
    </cfRule>
    <cfRule type="cellIs" dxfId="8772" priority="10868" operator="between">
      <formula>0.51</formula>
      <formula>0.75</formula>
    </cfRule>
    <cfRule type="cellIs" dxfId="8771" priority="10869" operator="greaterThan">
      <formula>1</formula>
    </cfRule>
    <cfRule type="cellIs" dxfId="8770" priority="10870" operator="between">
      <formula>0.95</formula>
      <formula>1</formula>
    </cfRule>
    <cfRule type="cellIs" dxfId="8769" priority="10871" stopIfTrue="1" operator="between">
      <formula>0</formula>
      <formula>0.5</formula>
    </cfRule>
  </conditionalFormatting>
  <conditionalFormatting sqref="I181">
    <cfRule type="cellIs" dxfId="8768" priority="10862" operator="between">
      <formula>0.76</formula>
      <formula>0.95</formula>
    </cfRule>
    <cfRule type="cellIs" dxfId="8767" priority="10863" operator="between">
      <formula>0.51</formula>
      <formula>0.75</formula>
    </cfRule>
    <cfRule type="cellIs" dxfId="8766" priority="10864" operator="greaterThan">
      <formula>1</formula>
    </cfRule>
    <cfRule type="cellIs" dxfId="8765" priority="10865" operator="between">
      <formula>0.95</formula>
      <formula>1</formula>
    </cfRule>
    <cfRule type="cellIs" dxfId="8764" priority="10866" stopIfTrue="1" operator="between">
      <formula>0</formula>
      <formula>0.5</formula>
    </cfRule>
  </conditionalFormatting>
  <conditionalFormatting sqref="I182">
    <cfRule type="cellIs" dxfId="8763" priority="10857" operator="between">
      <formula>0.76</formula>
      <formula>0.95</formula>
    </cfRule>
    <cfRule type="cellIs" dxfId="8762" priority="10858" operator="between">
      <formula>0.51</formula>
      <formula>0.75</formula>
    </cfRule>
    <cfRule type="cellIs" dxfId="8761" priority="10859" operator="greaterThan">
      <formula>1</formula>
    </cfRule>
    <cfRule type="cellIs" dxfId="8760" priority="10860" operator="between">
      <formula>0.95</formula>
      <formula>1</formula>
    </cfRule>
    <cfRule type="cellIs" dxfId="8759" priority="10861" stopIfTrue="1" operator="between">
      <formula>0</formula>
      <formula>0.5</formula>
    </cfRule>
  </conditionalFormatting>
  <conditionalFormatting sqref="I184">
    <cfRule type="cellIs" dxfId="8758" priority="10852" operator="between">
      <formula>0.76</formula>
      <formula>0.95</formula>
    </cfRule>
    <cfRule type="cellIs" dxfId="8757" priority="10853" operator="between">
      <formula>0.51</formula>
      <formula>0.75</formula>
    </cfRule>
    <cfRule type="cellIs" dxfId="8756" priority="10854" operator="greaterThan">
      <formula>1</formula>
    </cfRule>
    <cfRule type="cellIs" dxfId="8755" priority="10855" operator="between">
      <formula>0.95</formula>
      <formula>1</formula>
    </cfRule>
    <cfRule type="cellIs" dxfId="8754" priority="10856" stopIfTrue="1" operator="between">
      <formula>0</formula>
      <formula>0.5</formula>
    </cfRule>
  </conditionalFormatting>
  <conditionalFormatting sqref="I183">
    <cfRule type="cellIs" dxfId="8753" priority="10847" operator="between">
      <formula>0.76</formula>
      <formula>0.95</formula>
    </cfRule>
    <cfRule type="cellIs" dxfId="8752" priority="10848" operator="between">
      <formula>0.51</formula>
      <formula>0.75</formula>
    </cfRule>
    <cfRule type="cellIs" dxfId="8751" priority="10849" operator="greaterThan">
      <formula>1</formula>
    </cfRule>
    <cfRule type="cellIs" dxfId="8750" priority="10850" operator="between">
      <formula>0.95</formula>
      <formula>1</formula>
    </cfRule>
    <cfRule type="cellIs" dxfId="8749" priority="10851" stopIfTrue="1" operator="between">
      <formula>0</formula>
      <formula>0.5</formula>
    </cfRule>
  </conditionalFormatting>
  <conditionalFormatting sqref="I185">
    <cfRule type="cellIs" dxfId="8748" priority="10842" operator="between">
      <formula>0.76</formula>
      <formula>0.95</formula>
    </cfRule>
    <cfRule type="cellIs" dxfId="8747" priority="10843" operator="between">
      <formula>0.51</formula>
      <formula>0.75</formula>
    </cfRule>
    <cfRule type="cellIs" dxfId="8746" priority="10844" operator="greaterThan">
      <formula>1</formula>
    </cfRule>
    <cfRule type="cellIs" dxfId="8745" priority="10845" operator="between">
      <formula>0.95</formula>
      <formula>1</formula>
    </cfRule>
    <cfRule type="cellIs" dxfId="8744" priority="10846" stopIfTrue="1" operator="between">
      <formula>0</formula>
      <formula>0.5</formula>
    </cfRule>
  </conditionalFormatting>
  <conditionalFormatting sqref="I186">
    <cfRule type="cellIs" dxfId="8743" priority="10837" operator="between">
      <formula>0.76</formula>
      <formula>0.95</formula>
    </cfRule>
    <cfRule type="cellIs" dxfId="8742" priority="10838" operator="between">
      <formula>0.51</formula>
      <formula>0.75</formula>
    </cfRule>
    <cfRule type="cellIs" dxfId="8741" priority="10839" operator="greaterThan">
      <formula>1</formula>
    </cfRule>
    <cfRule type="cellIs" dxfId="8740" priority="10840" operator="between">
      <formula>0.95</formula>
      <formula>1</formula>
    </cfRule>
    <cfRule type="cellIs" dxfId="8739" priority="10841" stopIfTrue="1" operator="between">
      <formula>0</formula>
      <formula>0.5</formula>
    </cfRule>
  </conditionalFormatting>
  <conditionalFormatting sqref="I187">
    <cfRule type="cellIs" dxfId="8738" priority="10832" operator="between">
      <formula>0.76</formula>
      <formula>0.95</formula>
    </cfRule>
    <cfRule type="cellIs" dxfId="8737" priority="10833" operator="between">
      <formula>0.51</formula>
      <formula>0.75</formula>
    </cfRule>
    <cfRule type="cellIs" dxfId="8736" priority="10834" operator="greaterThan">
      <formula>1</formula>
    </cfRule>
    <cfRule type="cellIs" dxfId="8735" priority="10835" operator="between">
      <formula>0.95</formula>
      <formula>1</formula>
    </cfRule>
    <cfRule type="cellIs" dxfId="8734" priority="10836" stopIfTrue="1" operator="between">
      <formula>0</formula>
      <formula>0.5</formula>
    </cfRule>
  </conditionalFormatting>
  <conditionalFormatting sqref="I188">
    <cfRule type="cellIs" dxfId="8733" priority="10827" operator="between">
      <formula>0.76</formula>
      <formula>0.95</formula>
    </cfRule>
    <cfRule type="cellIs" dxfId="8732" priority="10828" operator="between">
      <formula>0.51</formula>
      <formula>0.75</formula>
    </cfRule>
    <cfRule type="cellIs" dxfId="8731" priority="10829" operator="greaterThan">
      <formula>1</formula>
    </cfRule>
    <cfRule type="cellIs" dxfId="8730" priority="10830" operator="between">
      <formula>0.95</formula>
      <formula>1</formula>
    </cfRule>
    <cfRule type="cellIs" dxfId="8729" priority="10831" stopIfTrue="1" operator="between">
      <formula>0</formula>
      <formula>0.5</formula>
    </cfRule>
  </conditionalFormatting>
  <conditionalFormatting sqref="I189">
    <cfRule type="cellIs" dxfId="8728" priority="10822" operator="between">
      <formula>0.76</formula>
      <formula>0.95</formula>
    </cfRule>
    <cfRule type="cellIs" dxfId="8727" priority="10823" operator="between">
      <formula>0.51</formula>
      <formula>0.75</formula>
    </cfRule>
    <cfRule type="cellIs" dxfId="8726" priority="10824" operator="greaterThan">
      <formula>1</formula>
    </cfRule>
    <cfRule type="cellIs" dxfId="8725" priority="10825" operator="between">
      <formula>0.95</formula>
      <formula>1</formula>
    </cfRule>
    <cfRule type="cellIs" dxfId="8724" priority="10826" stopIfTrue="1" operator="between">
      <formula>0</formula>
      <formula>0.5</formula>
    </cfRule>
  </conditionalFormatting>
  <conditionalFormatting sqref="I190">
    <cfRule type="cellIs" dxfId="8723" priority="10817" operator="between">
      <formula>0.76</formula>
      <formula>0.95</formula>
    </cfRule>
    <cfRule type="cellIs" dxfId="8722" priority="10818" operator="between">
      <formula>0.51</formula>
      <formula>0.75</formula>
    </cfRule>
    <cfRule type="cellIs" dxfId="8721" priority="10819" operator="greaterThan">
      <formula>1</formula>
    </cfRule>
    <cfRule type="cellIs" dxfId="8720" priority="10820" operator="between">
      <formula>0.95</formula>
      <formula>1</formula>
    </cfRule>
    <cfRule type="cellIs" dxfId="8719" priority="10821" stopIfTrue="1" operator="between">
      <formula>0</formula>
      <formula>0.5</formula>
    </cfRule>
  </conditionalFormatting>
  <conditionalFormatting sqref="I191">
    <cfRule type="cellIs" dxfId="8718" priority="10812" operator="between">
      <formula>0.76</formula>
      <formula>0.95</formula>
    </cfRule>
    <cfRule type="cellIs" dxfId="8717" priority="10813" operator="between">
      <formula>0.51</formula>
      <formula>0.75</formula>
    </cfRule>
    <cfRule type="cellIs" dxfId="8716" priority="10814" operator="greaterThan">
      <formula>1</formula>
    </cfRule>
    <cfRule type="cellIs" dxfId="8715" priority="10815" operator="between">
      <formula>0.95</formula>
      <formula>1</formula>
    </cfRule>
    <cfRule type="cellIs" dxfId="8714" priority="10816" stopIfTrue="1" operator="between">
      <formula>0</formula>
      <formula>0.5</formula>
    </cfRule>
  </conditionalFormatting>
  <conditionalFormatting sqref="I192">
    <cfRule type="cellIs" dxfId="8713" priority="10807" operator="between">
      <formula>0.76</formula>
      <formula>0.95</formula>
    </cfRule>
    <cfRule type="cellIs" dxfId="8712" priority="10808" operator="between">
      <formula>0.51</formula>
      <formula>0.75</formula>
    </cfRule>
    <cfRule type="cellIs" dxfId="8711" priority="10809" operator="greaterThan">
      <formula>1</formula>
    </cfRule>
    <cfRule type="cellIs" dxfId="8710" priority="10810" operator="between">
      <formula>0.95</formula>
      <formula>1</formula>
    </cfRule>
    <cfRule type="cellIs" dxfId="8709" priority="10811" stopIfTrue="1" operator="between">
      <formula>0</formula>
      <formula>0.5</formula>
    </cfRule>
  </conditionalFormatting>
  <conditionalFormatting sqref="I194">
    <cfRule type="cellIs" dxfId="8708" priority="10802" operator="between">
      <formula>0.76</formula>
      <formula>0.95</formula>
    </cfRule>
    <cfRule type="cellIs" dxfId="8707" priority="10803" operator="between">
      <formula>0.51</formula>
      <formula>0.75</formula>
    </cfRule>
    <cfRule type="cellIs" dxfId="8706" priority="10804" operator="greaterThan">
      <formula>1</formula>
    </cfRule>
    <cfRule type="cellIs" dxfId="8705" priority="10805" operator="between">
      <formula>0.95</formula>
      <formula>1</formula>
    </cfRule>
    <cfRule type="cellIs" dxfId="8704" priority="10806" stopIfTrue="1" operator="between">
      <formula>0</formula>
      <formula>0.5</formula>
    </cfRule>
  </conditionalFormatting>
  <conditionalFormatting sqref="I193">
    <cfRule type="cellIs" dxfId="8703" priority="10797" operator="between">
      <formula>0.76</formula>
      <formula>0.95</formula>
    </cfRule>
    <cfRule type="cellIs" dxfId="8702" priority="10798" operator="between">
      <formula>0.51</formula>
      <formula>0.75</formula>
    </cfRule>
    <cfRule type="cellIs" dxfId="8701" priority="10799" operator="greaterThan">
      <formula>1</formula>
    </cfRule>
    <cfRule type="cellIs" dxfId="8700" priority="10800" operator="between">
      <formula>0.95</formula>
      <formula>1</formula>
    </cfRule>
    <cfRule type="cellIs" dxfId="8699" priority="10801" stopIfTrue="1" operator="between">
      <formula>0</formula>
      <formula>0.5</formula>
    </cfRule>
  </conditionalFormatting>
  <conditionalFormatting sqref="I195">
    <cfRule type="cellIs" dxfId="8698" priority="10792" operator="between">
      <formula>0.76</formula>
      <formula>0.95</formula>
    </cfRule>
    <cfRule type="cellIs" dxfId="8697" priority="10793" operator="between">
      <formula>0.51</formula>
      <formula>0.75</formula>
    </cfRule>
    <cfRule type="cellIs" dxfId="8696" priority="10794" operator="greaterThan">
      <formula>1</formula>
    </cfRule>
    <cfRule type="cellIs" dxfId="8695" priority="10795" operator="between">
      <formula>0.95</formula>
      <formula>1</formula>
    </cfRule>
    <cfRule type="cellIs" dxfId="8694" priority="10796" stopIfTrue="1" operator="between">
      <formula>0</formula>
      <formula>0.5</formula>
    </cfRule>
  </conditionalFormatting>
  <conditionalFormatting sqref="I196">
    <cfRule type="cellIs" dxfId="8693" priority="10787" operator="between">
      <formula>0.76</formula>
      <formula>0.95</formula>
    </cfRule>
    <cfRule type="cellIs" dxfId="8692" priority="10788" operator="between">
      <formula>0.51</formula>
      <formula>0.75</formula>
    </cfRule>
    <cfRule type="cellIs" dxfId="8691" priority="10789" operator="greaterThan">
      <formula>1</formula>
    </cfRule>
    <cfRule type="cellIs" dxfId="8690" priority="10790" operator="between">
      <formula>0.95</formula>
      <formula>1</formula>
    </cfRule>
    <cfRule type="cellIs" dxfId="8689" priority="10791" stopIfTrue="1" operator="between">
      <formula>0</formula>
      <formula>0.5</formula>
    </cfRule>
  </conditionalFormatting>
  <conditionalFormatting sqref="I197">
    <cfRule type="cellIs" dxfId="8688" priority="10782" operator="between">
      <formula>0.76</formula>
      <formula>0.95</formula>
    </cfRule>
    <cfRule type="cellIs" dxfId="8687" priority="10783" operator="between">
      <formula>0.51</formula>
      <formula>0.75</formula>
    </cfRule>
    <cfRule type="cellIs" dxfId="8686" priority="10784" operator="greaterThan">
      <formula>1</formula>
    </cfRule>
    <cfRule type="cellIs" dxfId="8685" priority="10785" operator="between">
      <formula>0.95</formula>
      <formula>1</formula>
    </cfRule>
    <cfRule type="cellIs" dxfId="8684" priority="10786" stopIfTrue="1" operator="between">
      <formula>0</formula>
      <formula>0.5</formula>
    </cfRule>
  </conditionalFormatting>
  <conditionalFormatting sqref="I198">
    <cfRule type="cellIs" dxfId="8683" priority="10777" operator="between">
      <formula>0.76</formula>
      <formula>0.95</formula>
    </cfRule>
    <cfRule type="cellIs" dxfId="8682" priority="10778" operator="between">
      <formula>0.51</formula>
      <formula>0.75</formula>
    </cfRule>
    <cfRule type="cellIs" dxfId="8681" priority="10779" operator="greaterThan">
      <formula>1</formula>
    </cfRule>
    <cfRule type="cellIs" dxfId="8680" priority="10780" operator="between">
      <formula>0.95</formula>
      <formula>1</formula>
    </cfRule>
    <cfRule type="cellIs" dxfId="8679" priority="10781" stopIfTrue="1" operator="between">
      <formula>0</formula>
      <formula>0.5</formula>
    </cfRule>
  </conditionalFormatting>
  <conditionalFormatting sqref="I199">
    <cfRule type="cellIs" dxfId="8678" priority="10772" operator="between">
      <formula>0.76</formula>
      <formula>0.95</formula>
    </cfRule>
    <cfRule type="cellIs" dxfId="8677" priority="10773" operator="between">
      <formula>0.51</formula>
      <formula>0.75</formula>
    </cfRule>
    <cfRule type="cellIs" dxfId="8676" priority="10774" operator="greaterThan">
      <formula>1</formula>
    </cfRule>
    <cfRule type="cellIs" dxfId="8675" priority="10775" operator="between">
      <formula>0.95</formula>
      <formula>1</formula>
    </cfRule>
    <cfRule type="cellIs" dxfId="8674" priority="10776" stopIfTrue="1" operator="between">
      <formula>0</formula>
      <formula>0.5</formula>
    </cfRule>
  </conditionalFormatting>
  <conditionalFormatting sqref="I200">
    <cfRule type="cellIs" dxfId="8673" priority="10767" operator="between">
      <formula>0.76</formula>
      <formula>0.95</formula>
    </cfRule>
    <cfRule type="cellIs" dxfId="8672" priority="10768" operator="between">
      <formula>0.51</formula>
      <formula>0.75</formula>
    </cfRule>
    <cfRule type="cellIs" dxfId="8671" priority="10769" operator="greaterThan">
      <formula>1</formula>
    </cfRule>
    <cfRule type="cellIs" dxfId="8670" priority="10770" operator="between">
      <formula>0.95</formula>
      <formula>1</formula>
    </cfRule>
    <cfRule type="cellIs" dxfId="8669" priority="10771" stopIfTrue="1" operator="between">
      <formula>0</formula>
      <formula>0.5</formula>
    </cfRule>
  </conditionalFormatting>
  <conditionalFormatting sqref="I201">
    <cfRule type="cellIs" dxfId="8668" priority="10762" operator="between">
      <formula>0.76</formula>
      <formula>0.95</formula>
    </cfRule>
    <cfRule type="cellIs" dxfId="8667" priority="10763" operator="between">
      <formula>0.51</formula>
      <formula>0.75</formula>
    </cfRule>
    <cfRule type="cellIs" dxfId="8666" priority="10764" operator="greaterThan">
      <formula>1</formula>
    </cfRule>
    <cfRule type="cellIs" dxfId="8665" priority="10765" operator="between">
      <formula>0.95</formula>
      <formula>1</formula>
    </cfRule>
    <cfRule type="cellIs" dxfId="8664" priority="10766" stopIfTrue="1" operator="between">
      <formula>0</formula>
      <formula>0.5</formula>
    </cfRule>
  </conditionalFormatting>
  <conditionalFormatting sqref="I202">
    <cfRule type="cellIs" dxfId="8663" priority="10757" operator="between">
      <formula>0.76</formula>
      <formula>0.95</formula>
    </cfRule>
    <cfRule type="cellIs" dxfId="8662" priority="10758" operator="between">
      <formula>0.51</formula>
      <formula>0.75</formula>
    </cfRule>
    <cfRule type="cellIs" dxfId="8661" priority="10759" operator="greaterThan">
      <formula>1</formula>
    </cfRule>
    <cfRule type="cellIs" dxfId="8660" priority="10760" operator="between">
      <formula>0.95</formula>
      <formula>1</formula>
    </cfRule>
    <cfRule type="cellIs" dxfId="8659" priority="10761" stopIfTrue="1" operator="between">
      <formula>0</formula>
      <formula>0.5</formula>
    </cfRule>
  </conditionalFormatting>
  <conditionalFormatting sqref="I203">
    <cfRule type="cellIs" dxfId="8658" priority="10752" operator="between">
      <formula>0.76</formula>
      <formula>0.95</formula>
    </cfRule>
    <cfRule type="cellIs" dxfId="8657" priority="10753" operator="between">
      <formula>0.51</formula>
      <formula>0.75</formula>
    </cfRule>
    <cfRule type="cellIs" dxfId="8656" priority="10754" operator="greaterThan">
      <formula>1</formula>
    </cfRule>
    <cfRule type="cellIs" dxfId="8655" priority="10755" operator="between">
      <formula>0.95</formula>
      <formula>1</formula>
    </cfRule>
    <cfRule type="cellIs" dxfId="8654" priority="10756" stopIfTrue="1" operator="between">
      <formula>0</formula>
      <formula>0.5</formula>
    </cfRule>
  </conditionalFormatting>
  <conditionalFormatting sqref="I204">
    <cfRule type="cellIs" dxfId="8653" priority="10747" operator="between">
      <formula>0.76</formula>
      <formula>0.95</formula>
    </cfRule>
    <cfRule type="cellIs" dxfId="8652" priority="10748" operator="between">
      <formula>0.51</formula>
      <formula>0.75</formula>
    </cfRule>
    <cfRule type="cellIs" dxfId="8651" priority="10749" operator="greaterThan">
      <formula>1</formula>
    </cfRule>
    <cfRule type="cellIs" dxfId="8650" priority="10750" operator="between">
      <formula>0.95</formula>
      <formula>1</formula>
    </cfRule>
    <cfRule type="cellIs" dxfId="8649" priority="10751" stopIfTrue="1" operator="between">
      <formula>0</formula>
      <formula>0.5</formula>
    </cfRule>
  </conditionalFormatting>
  <conditionalFormatting sqref="I205">
    <cfRule type="cellIs" dxfId="8648" priority="10742" operator="between">
      <formula>0.76</formula>
      <formula>0.95</formula>
    </cfRule>
    <cfRule type="cellIs" dxfId="8647" priority="10743" operator="between">
      <formula>0.51</formula>
      <formula>0.75</formula>
    </cfRule>
    <cfRule type="cellIs" dxfId="8646" priority="10744" operator="greaterThan">
      <formula>1</formula>
    </cfRule>
    <cfRule type="cellIs" dxfId="8645" priority="10745" operator="between">
      <formula>0.95</formula>
      <formula>1</formula>
    </cfRule>
    <cfRule type="cellIs" dxfId="8644" priority="10746" stopIfTrue="1" operator="between">
      <formula>0</formula>
      <formula>0.5</formula>
    </cfRule>
  </conditionalFormatting>
  <conditionalFormatting sqref="I207">
    <cfRule type="cellIs" dxfId="8643" priority="10737" operator="between">
      <formula>0.76</formula>
      <formula>0.95</formula>
    </cfRule>
    <cfRule type="cellIs" dxfId="8642" priority="10738" operator="between">
      <formula>0.51</formula>
      <formula>0.75</formula>
    </cfRule>
    <cfRule type="cellIs" dxfId="8641" priority="10739" operator="greaterThan">
      <formula>1</formula>
    </cfRule>
    <cfRule type="cellIs" dxfId="8640" priority="10740" operator="between">
      <formula>0.95</formula>
      <formula>1</formula>
    </cfRule>
    <cfRule type="cellIs" dxfId="8639" priority="10741" stopIfTrue="1" operator="between">
      <formula>0</formula>
      <formula>0.5</formula>
    </cfRule>
  </conditionalFormatting>
  <conditionalFormatting sqref="I208">
    <cfRule type="cellIs" dxfId="8638" priority="10732" operator="between">
      <formula>0.76</formula>
      <formula>0.95</formula>
    </cfRule>
    <cfRule type="cellIs" dxfId="8637" priority="10733" operator="between">
      <formula>0.51</formula>
      <formula>0.75</formula>
    </cfRule>
    <cfRule type="cellIs" dxfId="8636" priority="10734" operator="greaterThan">
      <formula>1</formula>
    </cfRule>
    <cfRule type="cellIs" dxfId="8635" priority="10735" operator="between">
      <formula>0.95</formula>
      <formula>1</formula>
    </cfRule>
    <cfRule type="cellIs" dxfId="8634" priority="10736" stopIfTrue="1" operator="between">
      <formula>0</formula>
      <formula>0.5</formula>
    </cfRule>
  </conditionalFormatting>
  <conditionalFormatting sqref="I209">
    <cfRule type="cellIs" dxfId="8633" priority="10727" operator="between">
      <formula>0.76</formula>
      <formula>0.95</formula>
    </cfRule>
    <cfRule type="cellIs" dxfId="8632" priority="10728" operator="between">
      <formula>0.51</formula>
      <formula>0.75</formula>
    </cfRule>
    <cfRule type="cellIs" dxfId="8631" priority="10729" operator="greaterThan">
      <formula>1</formula>
    </cfRule>
    <cfRule type="cellIs" dxfId="8630" priority="10730" operator="between">
      <formula>0.95</formula>
      <formula>1</formula>
    </cfRule>
    <cfRule type="cellIs" dxfId="8629" priority="10731" stopIfTrue="1" operator="between">
      <formula>0</formula>
      <formula>0.5</formula>
    </cfRule>
  </conditionalFormatting>
  <conditionalFormatting sqref="I210">
    <cfRule type="cellIs" dxfId="8628" priority="10722" operator="between">
      <formula>0.76</formula>
      <formula>0.95</formula>
    </cfRule>
    <cfRule type="cellIs" dxfId="8627" priority="10723" operator="between">
      <formula>0.51</formula>
      <formula>0.75</formula>
    </cfRule>
    <cfRule type="cellIs" dxfId="8626" priority="10724" operator="greaterThan">
      <formula>1</formula>
    </cfRule>
    <cfRule type="cellIs" dxfId="8625" priority="10725" operator="between">
      <formula>0.95</formula>
      <formula>1</formula>
    </cfRule>
    <cfRule type="cellIs" dxfId="8624" priority="10726" stopIfTrue="1" operator="between">
      <formula>0</formula>
      <formula>0.5</formula>
    </cfRule>
  </conditionalFormatting>
  <conditionalFormatting sqref="I212">
    <cfRule type="cellIs" dxfId="8623" priority="10717" operator="between">
      <formula>0.76</formula>
      <formula>0.95</formula>
    </cfRule>
    <cfRule type="cellIs" dxfId="8622" priority="10718" operator="between">
      <formula>0.51</formula>
      <formula>0.75</formula>
    </cfRule>
    <cfRule type="cellIs" dxfId="8621" priority="10719" operator="greaterThan">
      <formula>1</formula>
    </cfRule>
    <cfRule type="cellIs" dxfId="8620" priority="10720" operator="between">
      <formula>0.95</formula>
      <formula>1</formula>
    </cfRule>
    <cfRule type="cellIs" dxfId="8619" priority="10721" stopIfTrue="1" operator="between">
      <formula>0</formula>
      <formula>0.5</formula>
    </cfRule>
  </conditionalFormatting>
  <conditionalFormatting sqref="I211">
    <cfRule type="cellIs" dxfId="8618" priority="10712" operator="between">
      <formula>0.76</formula>
      <formula>0.95</formula>
    </cfRule>
    <cfRule type="cellIs" dxfId="8617" priority="10713" operator="between">
      <formula>0.51</formula>
      <formula>0.75</formula>
    </cfRule>
    <cfRule type="cellIs" dxfId="8616" priority="10714" operator="greaterThan">
      <formula>1</formula>
    </cfRule>
    <cfRule type="cellIs" dxfId="8615" priority="10715" operator="between">
      <formula>0.95</formula>
      <formula>1</formula>
    </cfRule>
    <cfRule type="cellIs" dxfId="8614" priority="10716" stopIfTrue="1" operator="between">
      <formula>0</formula>
      <formula>0.5</formula>
    </cfRule>
  </conditionalFormatting>
  <conditionalFormatting sqref="I213">
    <cfRule type="cellIs" dxfId="8613" priority="10707" operator="between">
      <formula>0.76</formula>
      <formula>0.95</formula>
    </cfRule>
    <cfRule type="cellIs" dxfId="8612" priority="10708" operator="between">
      <formula>0.51</formula>
      <formula>0.75</formula>
    </cfRule>
    <cfRule type="cellIs" dxfId="8611" priority="10709" operator="greaterThan">
      <formula>1</formula>
    </cfRule>
    <cfRule type="cellIs" dxfId="8610" priority="10710" operator="between">
      <formula>0.95</formula>
      <formula>1</formula>
    </cfRule>
    <cfRule type="cellIs" dxfId="8609" priority="10711" stopIfTrue="1" operator="between">
      <formula>0</formula>
      <formula>0.5</formula>
    </cfRule>
  </conditionalFormatting>
  <conditionalFormatting sqref="I214">
    <cfRule type="cellIs" dxfId="8608" priority="10702" operator="between">
      <formula>0.76</formula>
      <formula>0.95</formula>
    </cfRule>
    <cfRule type="cellIs" dxfId="8607" priority="10703" operator="between">
      <formula>0.51</formula>
      <formula>0.75</formula>
    </cfRule>
    <cfRule type="cellIs" dxfId="8606" priority="10704" operator="greaterThan">
      <formula>1</formula>
    </cfRule>
    <cfRule type="cellIs" dxfId="8605" priority="10705" operator="between">
      <formula>0.95</formula>
      <formula>1</formula>
    </cfRule>
    <cfRule type="cellIs" dxfId="8604" priority="10706" stopIfTrue="1" operator="between">
      <formula>0</formula>
      <formula>0.5</formula>
    </cfRule>
  </conditionalFormatting>
  <conditionalFormatting sqref="I215">
    <cfRule type="cellIs" dxfId="8603" priority="10697" operator="between">
      <formula>0.76</formula>
      <formula>0.95</formula>
    </cfRule>
    <cfRule type="cellIs" dxfId="8602" priority="10698" operator="between">
      <formula>0.51</formula>
      <formula>0.75</formula>
    </cfRule>
    <cfRule type="cellIs" dxfId="8601" priority="10699" operator="greaterThan">
      <formula>1</formula>
    </cfRule>
    <cfRule type="cellIs" dxfId="8600" priority="10700" operator="between">
      <formula>0.95</formula>
      <formula>1</formula>
    </cfRule>
    <cfRule type="cellIs" dxfId="8599" priority="10701" stopIfTrue="1" operator="between">
      <formula>0</formula>
      <formula>0.5</formula>
    </cfRule>
  </conditionalFormatting>
  <conditionalFormatting sqref="I216">
    <cfRule type="cellIs" dxfId="8598" priority="10692" operator="between">
      <formula>0.76</formula>
      <formula>0.95</formula>
    </cfRule>
    <cfRule type="cellIs" dxfId="8597" priority="10693" operator="between">
      <formula>0.51</formula>
      <formula>0.75</formula>
    </cfRule>
    <cfRule type="cellIs" dxfId="8596" priority="10694" operator="greaterThan">
      <formula>1</formula>
    </cfRule>
    <cfRule type="cellIs" dxfId="8595" priority="10695" operator="between">
      <formula>0.95</formula>
      <formula>1</formula>
    </cfRule>
    <cfRule type="cellIs" dxfId="8594" priority="10696" stopIfTrue="1" operator="between">
      <formula>0</formula>
      <formula>0.5</formula>
    </cfRule>
  </conditionalFormatting>
  <conditionalFormatting sqref="I217">
    <cfRule type="cellIs" dxfId="8593" priority="10687" operator="between">
      <formula>0.76</formula>
      <formula>0.95</formula>
    </cfRule>
    <cfRule type="cellIs" dxfId="8592" priority="10688" operator="between">
      <formula>0.51</formula>
      <formula>0.75</formula>
    </cfRule>
    <cfRule type="cellIs" dxfId="8591" priority="10689" operator="greaterThan">
      <formula>1</formula>
    </cfRule>
    <cfRule type="cellIs" dxfId="8590" priority="10690" operator="between">
      <formula>0.95</formula>
      <formula>1</formula>
    </cfRule>
    <cfRule type="cellIs" dxfId="8589" priority="10691" stopIfTrue="1" operator="between">
      <formula>0</formula>
      <formula>0.5</formula>
    </cfRule>
  </conditionalFormatting>
  <conditionalFormatting sqref="M15">
    <cfRule type="cellIs" dxfId="8588" priority="10682" operator="between">
      <formula>0.76</formula>
      <formula>0.95</formula>
    </cfRule>
    <cfRule type="cellIs" dxfId="8587" priority="10683" operator="between">
      <formula>0.51</formula>
      <formula>0.75</formula>
    </cfRule>
    <cfRule type="cellIs" dxfId="8586" priority="10684" operator="greaterThan">
      <formula>1</formula>
    </cfRule>
    <cfRule type="cellIs" dxfId="8585" priority="10685" operator="between">
      <formula>0.95</formula>
      <formula>1</formula>
    </cfRule>
    <cfRule type="cellIs" dxfId="8584" priority="10686" stopIfTrue="1" operator="between">
      <formula>0</formula>
      <formula>0.5</formula>
    </cfRule>
  </conditionalFormatting>
  <conditionalFormatting sqref="M16">
    <cfRule type="cellIs" dxfId="8583" priority="10677" operator="between">
      <formula>0.76</formula>
      <formula>0.95</formula>
    </cfRule>
    <cfRule type="cellIs" dxfId="8582" priority="10678" operator="between">
      <formula>0.51</formula>
      <formula>0.75</formula>
    </cfRule>
    <cfRule type="cellIs" dxfId="8581" priority="10679" operator="greaterThan">
      <formula>1</formula>
    </cfRule>
    <cfRule type="cellIs" dxfId="8580" priority="10680" operator="between">
      <formula>0.95</formula>
      <formula>1</formula>
    </cfRule>
    <cfRule type="cellIs" dxfId="8579" priority="10681" stopIfTrue="1" operator="between">
      <formula>0</formula>
      <formula>0.5</formula>
    </cfRule>
  </conditionalFormatting>
  <conditionalFormatting sqref="M17">
    <cfRule type="cellIs" dxfId="8578" priority="10672" operator="between">
      <formula>0.76</formula>
      <formula>0.95</formula>
    </cfRule>
    <cfRule type="cellIs" dxfId="8577" priority="10673" operator="between">
      <formula>0.51</formula>
      <formula>0.75</formula>
    </cfRule>
    <cfRule type="cellIs" dxfId="8576" priority="10674" operator="greaterThan">
      <formula>1</formula>
    </cfRule>
    <cfRule type="cellIs" dxfId="8575" priority="10675" operator="between">
      <formula>0.95</formula>
      <formula>1</formula>
    </cfRule>
    <cfRule type="cellIs" dxfId="8574" priority="10676" stopIfTrue="1" operator="between">
      <formula>0</formula>
      <formula>0.5</formula>
    </cfRule>
  </conditionalFormatting>
  <conditionalFormatting sqref="M18">
    <cfRule type="cellIs" dxfId="8573" priority="10662" operator="between">
      <formula>0.76</formula>
      <formula>0.95</formula>
    </cfRule>
    <cfRule type="cellIs" dxfId="8572" priority="10663" operator="between">
      <formula>0.51</formula>
      <formula>0.75</formula>
    </cfRule>
    <cfRule type="cellIs" dxfId="8571" priority="10664" operator="greaterThan">
      <formula>1</formula>
    </cfRule>
    <cfRule type="cellIs" dxfId="8570" priority="10665" operator="between">
      <formula>0.95</formula>
      <formula>1</formula>
    </cfRule>
    <cfRule type="cellIs" dxfId="8569" priority="10666" stopIfTrue="1" operator="between">
      <formula>0</formula>
      <formula>0.5</formula>
    </cfRule>
  </conditionalFormatting>
  <conditionalFormatting sqref="M19">
    <cfRule type="cellIs" dxfId="8568" priority="10657" operator="between">
      <formula>0.76</formula>
      <formula>0.95</formula>
    </cfRule>
    <cfRule type="cellIs" dxfId="8567" priority="10658" operator="between">
      <formula>0.51</formula>
      <formula>0.75</formula>
    </cfRule>
    <cfRule type="cellIs" dxfId="8566" priority="10659" operator="greaterThan">
      <formula>1</formula>
    </cfRule>
    <cfRule type="cellIs" dxfId="8565" priority="10660" operator="between">
      <formula>0.95</formula>
      <formula>1</formula>
    </cfRule>
    <cfRule type="cellIs" dxfId="8564" priority="10661" stopIfTrue="1" operator="between">
      <formula>0</formula>
      <formula>0.5</formula>
    </cfRule>
  </conditionalFormatting>
  <conditionalFormatting sqref="M21">
    <cfRule type="cellIs" dxfId="8563" priority="10652" operator="between">
      <formula>0.76</formula>
      <formula>0.95</formula>
    </cfRule>
    <cfRule type="cellIs" dxfId="8562" priority="10653" operator="between">
      <formula>0.51</formula>
      <formula>0.75</formula>
    </cfRule>
    <cfRule type="cellIs" dxfId="8561" priority="10654" operator="greaterThan">
      <formula>1</formula>
    </cfRule>
    <cfRule type="cellIs" dxfId="8560" priority="10655" operator="between">
      <formula>0.95</formula>
      <formula>1</formula>
    </cfRule>
    <cfRule type="cellIs" dxfId="8559" priority="10656" stopIfTrue="1" operator="between">
      <formula>0</formula>
      <formula>0.5</formula>
    </cfRule>
  </conditionalFormatting>
  <conditionalFormatting sqref="M20">
    <cfRule type="cellIs" dxfId="8558" priority="10647" operator="between">
      <formula>0.76</formula>
      <formula>0.95</formula>
    </cfRule>
    <cfRule type="cellIs" dxfId="8557" priority="10648" operator="between">
      <formula>0.51</formula>
      <formula>0.75</formula>
    </cfRule>
    <cfRule type="cellIs" dxfId="8556" priority="10649" operator="greaterThan">
      <formula>1</formula>
    </cfRule>
    <cfRule type="cellIs" dxfId="8555" priority="10650" operator="between">
      <formula>0.95</formula>
      <formula>1</formula>
    </cfRule>
    <cfRule type="cellIs" dxfId="8554" priority="10651" stopIfTrue="1" operator="between">
      <formula>0</formula>
      <formula>0.5</formula>
    </cfRule>
  </conditionalFormatting>
  <conditionalFormatting sqref="M22">
    <cfRule type="cellIs" dxfId="8553" priority="10642" operator="between">
      <formula>0.76</formula>
      <formula>0.95</formula>
    </cfRule>
    <cfRule type="cellIs" dxfId="8552" priority="10643" operator="between">
      <formula>0.51</formula>
      <formula>0.75</formula>
    </cfRule>
    <cfRule type="cellIs" dxfId="8551" priority="10644" operator="greaterThan">
      <formula>1</formula>
    </cfRule>
    <cfRule type="cellIs" dxfId="8550" priority="10645" operator="between">
      <formula>0.95</formula>
      <formula>1</formula>
    </cfRule>
    <cfRule type="cellIs" dxfId="8549" priority="10646" stopIfTrue="1" operator="between">
      <formula>0</formula>
      <formula>0.5</formula>
    </cfRule>
  </conditionalFormatting>
  <conditionalFormatting sqref="M23">
    <cfRule type="cellIs" dxfId="8548" priority="10637" operator="between">
      <formula>0.76</formula>
      <formula>0.95</formula>
    </cfRule>
    <cfRule type="cellIs" dxfId="8547" priority="10638" operator="between">
      <formula>0.51</formula>
      <formula>0.75</formula>
    </cfRule>
    <cfRule type="cellIs" dxfId="8546" priority="10639" operator="greaterThan">
      <formula>1</formula>
    </cfRule>
    <cfRule type="cellIs" dxfId="8545" priority="10640" operator="between">
      <formula>0.95</formula>
      <formula>1</formula>
    </cfRule>
    <cfRule type="cellIs" dxfId="8544" priority="10641" stopIfTrue="1" operator="between">
      <formula>0</formula>
      <formula>0.5</formula>
    </cfRule>
  </conditionalFormatting>
  <conditionalFormatting sqref="M24">
    <cfRule type="cellIs" dxfId="8543" priority="10632" operator="between">
      <formula>0.76</formula>
      <formula>0.95</formula>
    </cfRule>
    <cfRule type="cellIs" dxfId="8542" priority="10633" operator="between">
      <formula>0.51</formula>
      <formula>0.75</formula>
    </cfRule>
    <cfRule type="cellIs" dxfId="8541" priority="10634" operator="greaterThan">
      <formula>1</formula>
    </cfRule>
    <cfRule type="cellIs" dxfId="8540" priority="10635" operator="between">
      <formula>0.95</formula>
      <formula>1</formula>
    </cfRule>
    <cfRule type="cellIs" dxfId="8539" priority="10636" stopIfTrue="1" operator="between">
      <formula>0</formula>
      <formula>0.5</formula>
    </cfRule>
  </conditionalFormatting>
  <conditionalFormatting sqref="M25">
    <cfRule type="cellIs" dxfId="8538" priority="10627" operator="between">
      <formula>0.76</formula>
      <formula>0.95</formula>
    </cfRule>
    <cfRule type="cellIs" dxfId="8537" priority="10628" operator="between">
      <formula>0.51</formula>
      <formula>0.75</formula>
    </cfRule>
    <cfRule type="cellIs" dxfId="8536" priority="10629" operator="greaterThan">
      <formula>1</formula>
    </cfRule>
    <cfRule type="cellIs" dxfId="8535" priority="10630" operator="between">
      <formula>0.95</formula>
      <formula>1</formula>
    </cfRule>
    <cfRule type="cellIs" dxfId="8534" priority="10631" stopIfTrue="1" operator="between">
      <formula>0</formula>
      <formula>0.5</formula>
    </cfRule>
  </conditionalFormatting>
  <conditionalFormatting sqref="M27">
    <cfRule type="cellIs" dxfId="8533" priority="10622" operator="between">
      <formula>0.76</formula>
      <formula>0.95</formula>
    </cfRule>
    <cfRule type="cellIs" dxfId="8532" priority="10623" operator="between">
      <formula>0.51</formula>
      <formula>0.75</formula>
    </cfRule>
    <cfRule type="cellIs" dxfId="8531" priority="10624" operator="greaterThan">
      <formula>1</formula>
    </cfRule>
    <cfRule type="cellIs" dxfId="8530" priority="10625" operator="between">
      <formula>0.95</formula>
      <formula>1</formula>
    </cfRule>
    <cfRule type="cellIs" dxfId="8529" priority="10626" stopIfTrue="1" operator="between">
      <formula>0</formula>
      <formula>0.5</formula>
    </cfRule>
  </conditionalFormatting>
  <conditionalFormatting sqref="M28">
    <cfRule type="cellIs" dxfId="8528" priority="10617" operator="between">
      <formula>0.76</formula>
      <formula>0.95</formula>
    </cfRule>
    <cfRule type="cellIs" dxfId="8527" priority="10618" operator="between">
      <formula>0.51</formula>
      <formula>0.75</formula>
    </cfRule>
    <cfRule type="cellIs" dxfId="8526" priority="10619" operator="greaterThan">
      <formula>1</formula>
    </cfRule>
    <cfRule type="cellIs" dxfId="8525" priority="10620" operator="between">
      <formula>0.95</formula>
      <formula>1</formula>
    </cfRule>
    <cfRule type="cellIs" dxfId="8524" priority="10621" stopIfTrue="1" operator="between">
      <formula>0</formula>
      <formula>0.5</formula>
    </cfRule>
  </conditionalFormatting>
  <conditionalFormatting sqref="M29">
    <cfRule type="cellIs" dxfId="8523" priority="10612" operator="between">
      <formula>0.76</formula>
      <formula>0.95</formula>
    </cfRule>
    <cfRule type="cellIs" dxfId="8522" priority="10613" operator="between">
      <formula>0.51</formula>
      <formula>0.75</formula>
    </cfRule>
    <cfRule type="cellIs" dxfId="8521" priority="10614" operator="greaterThan">
      <formula>1</formula>
    </cfRule>
    <cfRule type="cellIs" dxfId="8520" priority="10615" operator="between">
      <formula>0.95</formula>
      <formula>1</formula>
    </cfRule>
    <cfRule type="cellIs" dxfId="8519" priority="10616" stopIfTrue="1" operator="between">
      <formula>0</formula>
      <formula>0.5</formula>
    </cfRule>
  </conditionalFormatting>
  <conditionalFormatting sqref="M30">
    <cfRule type="cellIs" dxfId="8518" priority="10607" operator="between">
      <formula>0.76</formula>
      <formula>0.95</formula>
    </cfRule>
    <cfRule type="cellIs" dxfId="8517" priority="10608" operator="between">
      <formula>0.51</formula>
      <formula>0.75</formula>
    </cfRule>
    <cfRule type="cellIs" dxfId="8516" priority="10609" operator="greaterThan">
      <formula>1</formula>
    </cfRule>
    <cfRule type="cellIs" dxfId="8515" priority="10610" operator="between">
      <formula>0.95</formula>
      <formula>1</formula>
    </cfRule>
    <cfRule type="cellIs" dxfId="8514" priority="10611" stopIfTrue="1" operator="between">
      <formula>0</formula>
      <formula>0.5</formula>
    </cfRule>
  </conditionalFormatting>
  <conditionalFormatting sqref="M31">
    <cfRule type="cellIs" dxfId="8513" priority="10602" operator="between">
      <formula>0.76</formula>
      <formula>0.95</formula>
    </cfRule>
    <cfRule type="cellIs" dxfId="8512" priority="10603" operator="between">
      <formula>0.51</formula>
      <formula>0.75</formula>
    </cfRule>
    <cfRule type="cellIs" dxfId="8511" priority="10604" operator="greaterThan">
      <formula>1</formula>
    </cfRule>
    <cfRule type="cellIs" dxfId="8510" priority="10605" operator="between">
      <formula>0.95</formula>
      <formula>1</formula>
    </cfRule>
    <cfRule type="cellIs" dxfId="8509" priority="10606" stopIfTrue="1" operator="between">
      <formula>0</formula>
      <formula>0.5</formula>
    </cfRule>
  </conditionalFormatting>
  <conditionalFormatting sqref="M32">
    <cfRule type="cellIs" dxfId="8508" priority="10597" operator="between">
      <formula>0.76</formula>
      <formula>0.95</formula>
    </cfRule>
    <cfRule type="cellIs" dxfId="8507" priority="10598" operator="between">
      <formula>0.51</formula>
      <formula>0.75</formula>
    </cfRule>
    <cfRule type="cellIs" dxfId="8506" priority="10599" operator="greaterThan">
      <formula>1</formula>
    </cfRule>
    <cfRule type="cellIs" dxfId="8505" priority="10600" operator="between">
      <formula>0.95</formula>
      <formula>1</formula>
    </cfRule>
    <cfRule type="cellIs" dxfId="8504" priority="10601" stopIfTrue="1" operator="between">
      <formula>0</formula>
      <formula>0.5</formula>
    </cfRule>
  </conditionalFormatting>
  <conditionalFormatting sqref="M33">
    <cfRule type="cellIs" dxfId="8503" priority="10592" operator="between">
      <formula>0.76</formula>
      <formula>0.95</formula>
    </cfRule>
    <cfRule type="cellIs" dxfId="8502" priority="10593" operator="between">
      <formula>0.51</formula>
      <formula>0.75</formula>
    </cfRule>
    <cfRule type="cellIs" dxfId="8501" priority="10594" operator="greaterThan">
      <formula>1</formula>
    </cfRule>
    <cfRule type="cellIs" dxfId="8500" priority="10595" operator="between">
      <formula>0.95</formula>
      <formula>1</formula>
    </cfRule>
    <cfRule type="cellIs" dxfId="8499" priority="10596" stopIfTrue="1" operator="between">
      <formula>0</formula>
      <formula>0.5</formula>
    </cfRule>
  </conditionalFormatting>
  <conditionalFormatting sqref="M34">
    <cfRule type="cellIs" dxfId="8498" priority="10587" operator="between">
      <formula>0.76</formula>
      <formula>0.95</formula>
    </cfRule>
    <cfRule type="cellIs" dxfId="8497" priority="10588" operator="between">
      <formula>0.51</formula>
      <formula>0.75</formula>
    </cfRule>
    <cfRule type="cellIs" dxfId="8496" priority="10589" operator="greaterThan">
      <formula>1</formula>
    </cfRule>
    <cfRule type="cellIs" dxfId="8495" priority="10590" operator="between">
      <formula>0.95</formula>
      <formula>1</formula>
    </cfRule>
    <cfRule type="cellIs" dxfId="8494" priority="10591" stopIfTrue="1" operator="between">
      <formula>0</formula>
      <formula>0.5</formula>
    </cfRule>
  </conditionalFormatting>
  <conditionalFormatting sqref="M35">
    <cfRule type="cellIs" dxfId="8493" priority="10577" operator="between">
      <formula>0.76</formula>
      <formula>0.95</formula>
    </cfRule>
    <cfRule type="cellIs" dxfId="8492" priority="10578" operator="between">
      <formula>0.51</formula>
      <formula>0.75</formula>
    </cfRule>
    <cfRule type="cellIs" dxfId="8491" priority="10579" operator="greaterThan">
      <formula>1</formula>
    </cfRule>
    <cfRule type="cellIs" dxfId="8490" priority="10580" operator="between">
      <formula>0.95</formula>
      <formula>1</formula>
    </cfRule>
    <cfRule type="cellIs" dxfId="8489" priority="10581" stopIfTrue="1" operator="between">
      <formula>0</formula>
      <formula>0.5</formula>
    </cfRule>
  </conditionalFormatting>
  <conditionalFormatting sqref="M36">
    <cfRule type="cellIs" dxfId="8488" priority="10572" operator="between">
      <formula>0.76</formula>
      <formula>0.95</formula>
    </cfRule>
    <cfRule type="cellIs" dxfId="8487" priority="10573" operator="between">
      <formula>0.51</formula>
      <formula>0.75</formula>
    </cfRule>
    <cfRule type="cellIs" dxfId="8486" priority="10574" operator="greaterThan">
      <formula>1</formula>
    </cfRule>
    <cfRule type="cellIs" dxfId="8485" priority="10575" operator="between">
      <formula>0.95</formula>
      <formula>1</formula>
    </cfRule>
    <cfRule type="cellIs" dxfId="8484" priority="10576" stopIfTrue="1" operator="between">
      <formula>0</formula>
      <formula>0.5</formula>
    </cfRule>
  </conditionalFormatting>
  <conditionalFormatting sqref="M37">
    <cfRule type="cellIs" dxfId="8483" priority="10567" operator="between">
      <formula>0.76</formula>
      <formula>0.95</formula>
    </cfRule>
    <cfRule type="cellIs" dxfId="8482" priority="10568" operator="between">
      <formula>0.51</formula>
      <formula>0.75</formula>
    </cfRule>
    <cfRule type="cellIs" dxfId="8481" priority="10569" operator="greaterThan">
      <formula>1</formula>
    </cfRule>
    <cfRule type="cellIs" dxfId="8480" priority="10570" operator="between">
      <formula>0.95</formula>
      <formula>1</formula>
    </cfRule>
    <cfRule type="cellIs" dxfId="8479" priority="10571" stopIfTrue="1" operator="between">
      <formula>0</formula>
      <formula>0.5</formula>
    </cfRule>
  </conditionalFormatting>
  <conditionalFormatting sqref="M38">
    <cfRule type="cellIs" dxfId="8478" priority="10562" operator="between">
      <formula>0.76</formula>
      <formula>0.95</formula>
    </cfRule>
    <cfRule type="cellIs" dxfId="8477" priority="10563" operator="between">
      <formula>0.51</formula>
      <formula>0.75</formula>
    </cfRule>
    <cfRule type="cellIs" dxfId="8476" priority="10564" operator="greaterThan">
      <formula>1</formula>
    </cfRule>
    <cfRule type="cellIs" dxfId="8475" priority="10565" operator="between">
      <formula>0.95</formula>
      <formula>1</formula>
    </cfRule>
    <cfRule type="cellIs" dxfId="8474" priority="10566" stopIfTrue="1" operator="between">
      <formula>0</formula>
      <formula>0.5</formula>
    </cfRule>
  </conditionalFormatting>
  <conditionalFormatting sqref="M39">
    <cfRule type="cellIs" dxfId="8473" priority="10557" operator="between">
      <formula>0.76</formula>
      <formula>0.95</formula>
    </cfRule>
    <cfRule type="cellIs" dxfId="8472" priority="10558" operator="between">
      <formula>0.51</formula>
      <formula>0.75</formula>
    </cfRule>
    <cfRule type="cellIs" dxfId="8471" priority="10559" operator="greaterThan">
      <formula>1</formula>
    </cfRule>
    <cfRule type="cellIs" dxfId="8470" priority="10560" operator="between">
      <formula>0.95</formula>
      <formula>1</formula>
    </cfRule>
    <cfRule type="cellIs" dxfId="8469" priority="10561" stopIfTrue="1" operator="between">
      <formula>0</formula>
      <formula>0.5</formula>
    </cfRule>
  </conditionalFormatting>
  <conditionalFormatting sqref="M40">
    <cfRule type="cellIs" dxfId="8468" priority="10552" operator="between">
      <formula>0.76</formula>
      <formula>0.95</formula>
    </cfRule>
    <cfRule type="cellIs" dxfId="8467" priority="10553" operator="between">
      <formula>0.51</formula>
      <formula>0.75</formula>
    </cfRule>
    <cfRule type="cellIs" dxfId="8466" priority="10554" operator="greaterThan">
      <formula>1</formula>
    </cfRule>
    <cfRule type="cellIs" dxfId="8465" priority="10555" operator="between">
      <formula>0.95</formula>
      <formula>1</formula>
    </cfRule>
    <cfRule type="cellIs" dxfId="8464" priority="10556" stopIfTrue="1" operator="between">
      <formula>0</formula>
      <formula>0.5</formula>
    </cfRule>
  </conditionalFormatting>
  <conditionalFormatting sqref="M41">
    <cfRule type="cellIs" dxfId="8463" priority="10547" operator="between">
      <formula>0.76</formula>
      <formula>0.95</formula>
    </cfRule>
    <cfRule type="cellIs" dxfId="8462" priority="10548" operator="between">
      <formula>0.51</formula>
      <formula>0.75</formula>
    </cfRule>
    <cfRule type="cellIs" dxfId="8461" priority="10549" operator="greaterThan">
      <formula>1</formula>
    </cfRule>
    <cfRule type="cellIs" dxfId="8460" priority="10550" operator="between">
      <formula>0.95</formula>
      <formula>1</formula>
    </cfRule>
    <cfRule type="cellIs" dxfId="8459" priority="10551" stopIfTrue="1" operator="between">
      <formula>0</formula>
      <formula>0.5</formula>
    </cfRule>
  </conditionalFormatting>
  <conditionalFormatting sqref="M42">
    <cfRule type="cellIs" dxfId="8458" priority="10542" operator="between">
      <formula>0.76</formula>
      <formula>0.95</formula>
    </cfRule>
    <cfRule type="cellIs" dxfId="8457" priority="10543" operator="between">
      <formula>0.51</formula>
      <formula>0.75</formula>
    </cfRule>
    <cfRule type="cellIs" dxfId="8456" priority="10544" operator="greaterThan">
      <formula>1</formula>
    </cfRule>
    <cfRule type="cellIs" dxfId="8455" priority="10545" operator="between">
      <formula>0.95</formula>
      <formula>1</formula>
    </cfRule>
    <cfRule type="cellIs" dxfId="8454" priority="10546" stopIfTrue="1" operator="between">
      <formula>0</formula>
      <formula>0.5</formula>
    </cfRule>
  </conditionalFormatting>
  <conditionalFormatting sqref="M43">
    <cfRule type="cellIs" dxfId="8453" priority="10537" operator="between">
      <formula>0.76</formula>
      <formula>0.95</formula>
    </cfRule>
    <cfRule type="cellIs" dxfId="8452" priority="10538" operator="between">
      <formula>0.51</formula>
      <formula>0.75</formula>
    </cfRule>
    <cfRule type="cellIs" dxfId="8451" priority="10539" operator="greaterThan">
      <formula>1</formula>
    </cfRule>
    <cfRule type="cellIs" dxfId="8450" priority="10540" operator="between">
      <formula>0.95</formula>
      <formula>1</formula>
    </cfRule>
    <cfRule type="cellIs" dxfId="8449" priority="10541" stopIfTrue="1" operator="between">
      <formula>0</formula>
      <formula>0.5</formula>
    </cfRule>
  </conditionalFormatting>
  <conditionalFormatting sqref="M45">
    <cfRule type="cellIs" dxfId="8448" priority="10532" operator="between">
      <formula>0.76</formula>
      <formula>0.95</formula>
    </cfRule>
    <cfRule type="cellIs" dxfId="8447" priority="10533" operator="between">
      <formula>0.51</formula>
      <formula>0.75</formula>
    </cfRule>
    <cfRule type="cellIs" dxfId="8446" priority="10534" operator="greaterThan">
      <formula>1</formula>
    </cfRule>
    <cfRule type="cellIs" dxfId="8445" priority="10535" operator="between">
      <formula>0.95</formula>
      <formula>1</formula>
    </cfRule>
    <cfRule type="cellIs" dxfId="8444" priority="10536" stopIfTrue="1" operator="between">
      <formula>0</formula>
      <formula>0.5</formula>
    </cfRule>
  </conditionalFormatting>
  <conditionalFormatting sqref="M44">
    <cfRule type="cellIs" dxfId="8443" priority="10527" operator="between">
      <formula>0.76</formula>
      <formula>0.95</formula>
    </cfRule>
    <cfRule type="cellIs" dxfId="8442" priority="10528" operator="between">
      <formula>0.51</formula>
      <formula>0.75</formula>
    </cfRule>
    <cfRule type="cellIs" dxfId="8441" priority="10529" operator="greaterThan">
      <formula>1</formula>
    </cfRule>
    <cfRule type="cellIs" dxfId="8440" priority="10530" operator="between">
      <formula>0.95</formula>
      <formula>1</formula>
    </cfRule>
    <cfRule type="cellIs" dxfId="8439" priority="10531" stopIfTrue="1" operator="between">
      <formula>0</formula>
      <formula>0.5</formula>
    </cfRule>
  </conditionalFormatting>
  <conditionalFormatting sqref="M46">
    <cfRule type="cellIs" dxfId="8438" priority="10522" operator="between">
      <formula>0.76</formula>
      <formula>0.95</formula>
    </cfRule>
    <cfRule type="cellIs" dxfId="8437" priority="10523" operator="between">
      <formula>0.51</formula>
      <formula>0.75</formula>
    </cfRule>
    <cfRule type="cellIs" dxfId="8436" priority="10524" operator="greaterThan">
      <formula>1</formula>
    </cfRule>
    <cfRule type="cellIs" dxfId="8435" priority="10525" operator="between">
      <formula>0.95</formula>
      <formula>1</formula>
    </cfRule>
    <cfRule type="cellIs" dxfId="8434" priority="10526" stopIfTrue="1" operator="between">
      <formula>0</formula>
      <formula>0.5</formula>
    </cfRule>
  </conditionalFormatting>
  <conditionalFormatting sqref="M47">
    <cfRule type="cellIs" dxfId="8433" priority="10517" operator="between">
      <formula>0.76</formula>
      <formula>0.95</formula>
    </cfRule>
    <cfRule type="cellIs" dxfId="8432" priority="10518" operator="between">
      <formula>0.51</formula>
      <formula>0.75</formula>
    </cfRule>
    <cfRule type="cellIs" dxfId="8431" priority="10519" operator="greaterThan">
      <formula>1</formula>
    </cfRule>
    <cfRule type="cellIs" dxfId="8430" priority="10520" operator="between">
      <formula>0.95</formula>
      <formula>1</formula>
    </cfRule>
    <cfRule type="cellIs" dxfId="8429" priority="10521" stopIfTrue="1" operator="between">
      <formula>0</formula>
      <formula>0.5</formula>
    </cfRule>
  </conditionalFormatting>
  <conditionalFormatting sqref="M48">
    <cfRule type="cellIs" dxfId="8428" priority="10512" operator="between">
      <formula>0.76</formula>
      <formula>0.95</formula>
    </cfRule>
    <cfRule type="cellIs" dxfId="8427" priority="10513" operator="between">
      <formula>0.51</formula>
      <formula>0.75</formula>
    </cfRule>
    <cfRule type="cellIs" dxfId="8426" priority="10514" operator="greaterThan">
      <formula>1</formula>
    </cfRule>
    <cfRule type="cellIs" dxfId="8425" priority="10515" operator="between">
      <formula>0.95</formula>
      <formula>1</formula>
    </cfRule>
    <cfRule type="cellIs" dxfId="8424" priority="10516" stopIfTrue="1" operator="between">
      <formula>0</formula>
      <formula>0.5</formula>
    </cfRule>
  </conditionalFormatting>
  <conditionalFormatting sqref="M49">
    <cfRule type="cellIs" dxfId="8423" priority="10507" operator="between">
      <formula>0.76</formula>
      <formula>0.95</formula>
    </cfRule>
    <cfRule type="cellIs" dxfId="8422" priority="10508" operator="between">
      <formula>0.51</formula>
      <formula>0.75</formula>
    </cfRule>
    <cfRule type="cellIs" dxfId="8421" priority="10509" operator="greaterThan">
      <formula>1</formula>
    </cfRule>
    <cfRule type="cellIs" dxfId="8420" priority="10510" operator="between">
      <formula>0.95</formula>
      <formula>1</formula>
    </cfRule>
    <cfRule type="cellIs" dxfId="8419" priority="10511" stopIfTrue="1" operator="between">
      <formula>0</formula>
      <formula>0.5</formula>
    </cfRule>
  </conditionalFormatting>
  <conditionalFormatting sqref="M50">
    <cfRule type="cellIs" dxfId="8418" priority="10502" operator="between">
      <formula>0.76</formula>
      <formula>0.95</formula>
    </cfRule>
    <cfRule type="cellIs" dxfId="8417" priority="10503" operator="between">
      <formula>0.51</formula>
      <formula>0.75</formula>
    </cfRule>
    <cfRule type="cellIs" dxfId="8416" priority="10504" operator="greaterThan">
      <formula>1</formula>
    </cfRule>
    <cfRule type="cellIs" dxfId="8415" priority="10505" operator="between">
      <formula>0.95</formula>
      <formula>1</formula>
    </cfRule>
    <cfRule type="cellIs" dxfId="8414" priority="10506" stopIfTrue="1" operator="between">
      <formula>0</formula>
      <formula>0.5</formula>
    </cfRule>
  </conditionalFormatting>
  <conditionalFormatting sqref="M51">
    <cfRule type="cellIs" dxfId="8413" priority="10497" operator="between">
      <formula>0.76</formula>
      <formula>0.95</formula>
    </cfRule>
    <cfRule type="cellIs" dxfId="8412" priority="10498" operator="between">
      <formula>0.51</formula>
      <formula>0.75</formula>
    </cfRule>
    <cfRule type="cellIs" dxfId="8411" priority="10499" operator="greaterThan">
      <formula>1</formula>
    </cfRule>
    <cfRule type="cellIs" dxfId="8410" priority="10500" operator="between">
      <formula>0.95</formula>
      <formula>1</formula>
    </cfRule>
    <cfRule type="cellIs" dxfId="8409" priority="10501" stopIfTrue="1" operator="between">
      <formula>0</formula>
      <formula>0.5</formula>
    </cfRule>
  </conditionalFormatting>
  <conditionalFormatting sqref="M52">
    <cfRule type="cellIs" dxfId="8408" priority="10492" operator="between">
      <formula>0.76</formula>
      <formula>0.95</formula>
    </cfRule>
    <cfRule type="cellIs" dxfId="8407" priority="10493" operator="between">
      <formula>0.51</formula>
      <formula>0.75</formula>
    </cfRule>
    <cfRule type="cellIs" dxfId="8406" priority="10494" operator="greaterThan">
      <formula>1</formula>
    </cfRule>
    <cfRule type="cellIs" dxfId="8405" priority="10495" operator="between">
      <formula>0.95</formula>
      <formula>1</formula>
    </cfRule>
    <cfRule type="cellIs" dxfId="8404" priority="10496" stopIfTrue="1" operator="between">
      <formula>0</formula>
      <formula>0.5</formula>
    </cfRule>
  </conditionalFormatting>
  <conditionalFormatting sqref="M53">
    <cfRule type="cellIs" dxfId="8403" priority="10487" operator="between">
      <formula>0.76</formula>
      <formula>0.95</formula>
    </cfRule>
    <cfRule type="cellIs" dxfId="8402" priority="10488" operator="between">
      <formula>0.51</formula>
      <formula>0.75</formula>
    </cfRule>
    <cfRule type="cellIs" dxfId="8401" priority="10489" operator="greaterThan">
      <formula>1</formula>
    </cfRule>
    <cfRule type="cellIs" dxfId="8400" priority="10490" operator="between">
      <formula>0.95</formula>
      <formula>1</formula>
    </cfRule>
    <cfRule type="cellIs" dxfId="8399" priority="10491" stopIfTrue="1" operator="between">
      <formula>0</formula>
      <formula>0.5</formula>
    </cfRule>
  </conditionalFormatting>
  <conditionalFormatting sqref="M54">
    <cfRule type="cellIs" dxfId="8398" priority="10482" operator="between">
      <formula>0.76</formula>
      <formula>0.95</formula>
    </cfRule>
    <cfRule type="cellIs" dxfId="8397" priority="10483" operator="between">
      <formula>0.51</formula>
      <formula>0.75</formula>
    </cfRule>
    <cfRule type="cellIs" dxfId="8396" priority="10484" operator="greaterThan">
      <formula>1</formula>
    </cfRule>
    <cfRule type="cellIs" dxfId="8395" priority="10485" operator="between">
      <formula>0.95</formula>
      <formula>1</formula>
    </cfRule>
    <cfRule type="cellIs" dxfId="8394" priority="10486" stopIfTrue="1" operator="between">
      <formula>0</formula>
      <formula>0.5</formula>
    </cfRule>
  </conditionalFormatting>
  <conditionalFormatting sqref="M55">
    <cfRule type="cellIs" dxfId="8393" priority="10477" operator="between">
      <formula>0.76</formula>
      <formula>0.95</formula>
    </cfRule>
    <cfRule type="cellIs" dxfId="8392" priority="10478" operator="between">
      <formula>0.51</formula>
      <formula>0.75</formula>
    </cfRule>
    <cfRule type="cellIs" dxfId="8391" priority="10479" operator="greaterThan">
      <formula>1</formula>
    </cfRule>
    <cfRule type="cellIs" dxfId="8390" priority="10480" operator="between">
      <formula>0.95</formula>
      <formula>1</formula>
    </cfRule>
    <cfRule type="cellIs" dxfId="8389" priority="10481" stopIfTrue="1" operator="between">
      <formula>0</formula>
      <formula>0.5</formula>
    </cfRule>
  </conditionalFormatting>
  <conditionalFormatting sqref="M56">
    <cfRule type="cellIs" dxfId="8388" priority="10472" operator="between">
      <formula>0.76</formula>
      <formula>0.95</formula>
    </cfRule>
    <cfRule type="cellIs" dxfId="8387" priority="10473" operator="between">
      <formula>0.51</formula>
      <formula>0.75</formula>
    </cfRule>
    <cfRule type="cellIs" dxfId="8386" priority="10474" operator="greaterThan">
      <formula>1</formula>
    </cfRule>
    <cfRule type="cellIs" dxfId="8385" priority="10475" operator="between">
      <formula>0.95</formula>
      <formula>1</formula>
    </cfRule>
    <cfRule type="cellIs" dxfId="8384" priority="10476" stopIfTrue="1" operator="between">
      <formula>0</formula>
      <formula>0.5</formula>
    </cfRule>
  </conditionalFormatting>
  <conditionalFormatting sqref="M57">
    <cfRule type="cellIs" dxfId="8383" priority="10457" operator="between">
      <formula>0.76</formula>
      <formula>0.95</formula>
    </cfRule>
    <cfRule type="cellIs" dxfId="8382" priority="10458" operator="between">
      <formula>0.51</formula>
      <formula>0.75</formula>
    </cfRule>
    <cfRule type="cellIs" dxfId="8381" priority="10459" operator="greaterThan">
      <formula>1</formula>
    </cfRule>
    <cfRule type="cellIs" dxfId="8380" priority="10460" operator="between">
      <formula>0.95</formula>
      <formula>1</formula>
    </cfRule>
    <cfRule type="cellIs" dxfId="8379" priority="10461" stopIfTrue="1" operator="between">
      <formula>0</formula>
      <formula>0.5</formula>
    </cfRule>
  </conditionalFormatting>
  <conditionalFormatting sqref="M58">
    <cfRule type="cellIs" dxfId="8378" priority="10452" operator="between">
      <formula>0.76</formula>
      <formula>0.95</formula>
    </cfRule>
    <cfRule type="cellIs" dxfId="8377" priority="10453" operator="between">
      <formula>0.51</formula>
      <formula>0.75</formula>
    </cfRule>
    <cfRule type="cellIs" dxfId="8376" priority="10454" operator="greaterThan">
      <formula>1</formula>
    </cfRule>
    <cfRule type="cellIs" dxfId="8375" priority="10455" operator="between">
      <formula>0.95</formula>
      <formula>1</formula>
    </cfRule>
    <cfRule type="cellIs" dxfId="8374" priority="10456" stopIfTrue="1" operator="between">
      <formula>0</formula>
      <formula>0.5</formula>
    </cfRule>
  </conditionalFormatting>
  <conditionalFormatting sqref="M60">
    <cfRule type="cellIs" dxfId="8373" priority="10447" operator="between">
      <formula>0.76</formula>
      <formula>0.95</formula>
    </cfRule>
    <cfRule type="cellIs" dxfId="8372" priority="10448" operator="between">
      <formula>0.51</formula>
      <formula>0.75</formula>
    </cfRule>
    <cfRule type="cellIs" dxfId="8371" priority="10449" operator="greaterThan">
      <formula>1</formula>
    </cfRule>
    <cfRule type="cellIs" dxfId="8370" priority="10450" operator="between">
      <formula>0.95</formula>
      <formula>1</formula>
    </cfRule>
    <cfRule type="cellIs" dxfId="8369" priority="10451" stopIfTrue="1" operator="between">
      <formula>0</formula>
      <formula>0.5</formula>
    </cfRule>
  </conditionalFormatting>
  <conditionalFormatting sqref="M59">
    <cfRule type="cellIs" dxfId="8368" priority="10442" operator="between">
      <formula>0.76</formula>
      <formula>0.95</formula>
    </cfRule>
    <cfRule type="cellIs" dxfId="8367" priority="10443" operator="between">
      <formula>0.51</formula>
      <formula>0.75</formula>
    </cfRule>
    <cfRule type="cellIs" dxfId="8366" priority="10444" operator="greaterThan">
      <formula>1</formula>
    </cfRule>
    <cfRule type="cellIs" dxfId="8365" priority="10445" operator="between">
      <formula>0.95</formula>
      <formula>1</formula>
    </cfRule>
    <cfRule type="cellIs" dxfId="8364" priority="10446" stopIfTrue="1" operator="between">
      <formula>0</formula>
      <formula>0.5</formula>
    </cfRule>
  </conditionalFormatting>
  <conditionalFormatting sqref="M61">
    <cfRule type="cellIs" dxfId="8363" priority="10437" operator="between">
      <formula>0.76</formula>
      <formula>0.95</formula>
    </cfRule>
    <cfRule type="cellIs" dxfId="8362" priority="10438" operator="between">
      <formula>0.51</formula>
      <formula>0.75</formula>
    </cfRule>
    <cfRule type="cellIs" dxfId="8361" priority="10439" operator="greaterThan">
      <formula>1</formula>
    </cfRule>
    <cfRule type="cellIs" dxfId="8360" priority="10440" operator="between">
      <formula>0.95</formula>
      <formula>1</formula>
    </cfRule>
    <cfRule type="cellIs" dxfId="8359" priority="10441" stopIfTrue="1" operator="between">
      <formula>0</formula>
      <formula>0.5</formula>
    </cfRule>
  </conditionalFormatting>
  <conditionalFormatting sqref="M63">
    <cfRule type="cellIs" dxfId="8358" priority="10432" operator="between">
      <formula>0.76</formula>
      <formula>0.95</formula>
    </cfRule>
    <cfRule type="cellIs" dxfId="8357" priority="10433" operator="between">
      <formula>0.51</formula>
      <formula>0.75</formula>
    </cfRule>
    <cfRule type="cellIs" dxfId="8356" priority="10434" operator="greaterThan">
      <formula>1</formula>
    </cfRule>
    <cfRule type="cellIs" dxfId="8355" priority="10435" operator="between">
      <formula>0.95</formula>
      <formula>1</formula>
    </cfRule>
    <cfRule type="cellIs" dxfId="8354" priority="10436" stopIfTrue="1" operator="between">
      <formula>0</formula>
      <formula>0.5</formula>
    </cfRule>
  </conditionalFormatting>
  <conditionalFormatting sqref="M64">
    <cfRule type="cellIs" dxfId="8353" priority="10427" operator="between">
      <formula>0.76</formula>
      <formula>0.95</formula>
    </cfRule>
    <cfRule type="cellIs" dxfId="8352" priority="10428" operator="between">
      <formula>0.51</formula>
      <formula>0.75</formula>
    </cfRule>
    <cfRule type="cellIs" dxfId="8351" priority="10429" operator="greaterThan">
      <formula>1</formula>
    </cfRule>
    <cfRule type="cellIs" dxfId="8350" priority="10430" operator="between">
      <formula>0.95</formula>
      <formula>1</formula>
    </cfRule>
    <cfRule type="cellIs" dxfId="8349" priority="10431" stopIfTrue="1" operator="between">
      <formula>0</formula>
      <formula>0.5</formula>
    </cfRule>
  </conditionalFormatting>
  <conditionalFormatting sqref="M65">
    <cfRule type="cellIs" dxfId="8348" priority="10422" operator="between">
      <formula>0.76</formula>
      <formula>0.95</formula>
    </cfRule>
    <cfRule type="cellIs" dxfId="8347" priority="10423" operator="between">
      <formula>0.51</formula>
      <formula>0.75</formula>
    </cfRule>
    <cfRule type="cellIs" dxfId="8346" priority="10424" operator="greaterThan">
      <formula>1</formula>
    </cfRule>
    <cfRule type="cellIs" dxfId="8345" priority="10425" operator="between">
      <formula>0.95</formula>
      <formula>1</formula>
    </cfRule>
    <cfRule type="cellIs" dxfId="8344" priority="10426" stopIfTrue="1" operator="between">
      <formula>0</formula>
      <formula>0.5</formula>
    </cfRule>
  </conditionalFormatting>
  <conditionalFormatting sqref="M66">
    <cfRule type="cellIs" dxfId="8343" priority="10417" operator="between">
      <formula>0.76</formula>
      <formula>0.95</formula>
    </cfRule>
    <cfRule type="cellIs" dxfId="8342" priority="10418" operator="between">
      <formula>0.51</formula>
      <formula>0.75</formula>
    </cfRule>
    <cfRule type="cellIs" dxfId="8341" priority="10419" operator="greaterThan">
      <formula>1</formula>
    </cfRule>
    <cfRule type="cellIs" dxfId="8340" priority="10420" operator="between">
      <formula>0.95</formula>
      <formula>1</formula>
    </cfRule>
    <cfRule type="cellIs" dxfId="8339" priority="10421" stopIfTrue="1" operator="between">
      <formula>0</formula>
      <formula>0.5</formula>
    </cfRule>
  </conditionalFormatting>
  <conditionalFormatting sqref="M67">
    <cfRule type="cellIs" dxfId="8338" priority="10412" operator="between">
      <formula>0.76</formula>
      <formula>0.95</formula>
    </cfRule>
    <cfRule type="cellIs" dxfId="8337" priority="10413" operator="between">
      <formula>0.51</formula>
      <formula>0.75</formula>
    </cfRule>
    <cfRule type="cellIs" dxfId="8336" priority="10414" operator="greaterThan">
      <formula>1</formula>
    </cfRule>
    <cfRule type="cellIs" dxfId="8335" priority="10415" operator="between">
      <formula>0.95</formula>
      <formula>1</formula>
    </cfRule>
    <cfRule type="cellIs" dxfId="8334" priority="10416" stopIfTrue="1" operator="between">
      <formula>0</formula>
      <formula>0.5</formula>
    </cfRule>
  </conditionalFormatting>
  <conditionalFormatting sqref="M68">
    <cfRule type="cellIs" dxfId="8333" priority="10407" operator="between">
      <formula>0.76</formula>
      <formula>0.95</formula>
    </cfRule>
    <cfRule type="cellIs" dxfId="8332" priority="10408" operator="between">
      <formula>0.51</formula>
      <formula>0.75</formula>
    </cfRule>
    <cfRule type="cellIs" dxfId="8331" priority="10409" operator="greaterThan">
      <formula>1</formula>
    </cfRule>
    <cfRule type="cellIs" dxfId="8330" priority="10410" operator="between">
      <formula>0.95</formula>
      <formula>1</formula>
    </cfRule>
    <cfRule type="cellIs" dxfId="8329" priority="10411" stopIfTrue="1" operator="between">
      <formula>0</formula>
      <formula>0.5</formula>
    </cfRule>
  </conditionalFormatting>
  <conditionalFormatting sqref="M69">
    <cfRule type="cellIs" dxfId="8328" priority="10402" operator="between">
      <formula>0.76</formula>
      <formula>0.95</formula>
    </cfRule>
    <cfRule type="cellIs" dxfId="8327" priority="10403" operator="between">
      <formula>0.51</formula>
      <formula>0.75</formula>
    </cfRule>
    <cfRule type="cellIs" dxfId="8326" priority="10404" operator="greaterThan">
      <formula>1</formula>
    </cfRule>
    <cfRule type="cellIs" dxfId="8325" priority="10405" operator="between">
      <formula>0.95</formula>
      <formula>1</formula>
    </cfRule>
    <cfRule type="cellIs" dxfId="8324" priority="10406" stopIfTrue="1" operator="between">
      <formula>0</formula>
      <formula>0.5</formula>
    </cfRule>
  </conditionalFormatting>
  <conditionalFormatting sqref="M70">
    <cfRule type="cellIs" dxfId="8323" priority="10397" operator="between">
      <formula>0.76</formula>
      <formula>0.95</formula>
    </cfRule>
    <cfRule type="cellIs" dxfId="8322" priority="10398" operator="between">
      <formula>0.51</formula>
      <formula>0.75</formula>
    </cfRule>
    <cfRule type="cellIs" dxfId="8321" priority="10399" operator="greaterThan">
      <formula>1</formula>
    </cfRule>
    <cfRule type="cellIs" dxfId="8320" priority="10400" operator="between">
      <formula>0.95</formula>
      <formula>1</formula>
    </cfRule>
    <cfRule type="cellIs" dxfId="8319" priority="10401" stopIfTrue="1" operator="between">
      <formula>0</formula>
      <formula>0.5</formula>
    </cfRule>
  </conditionalFormatting>
  <conditionalFormatting sqref="M71">
    <cfRule type="cellIs" dxfId="8318" priority="10392" operator="between">
      <formula>0.76</formula>
      <formula>0.95</formula>
    </cfRule>
    <cfRule type="cellIs" dxfId="8317" priority="10393" operator="between">
      <formula>0.51</formula>
      <formula>0.75</formula>
    </cfRule>
    <cfRule type="cellIs" dxfId="8316" priority="10394" operator="greaterThan">
      <formula>1</formula>
    </cfRule>
    <cfRule type="cellIs" dxfId="8315" priority="10395" operator="between">
      <formula>0.95</formula>
      <formula>1</formula>
    </cfRule>
    <cfRule type="cellIs" dxfId="8314" priority="10396" stopIfTrue="1" operator="between">
      <formula>0</formula>
      <formula>0.5</formula>
    </cfRule>
  </conditionalFormatting>
  <conditionalFormatting sqref="M72">
    <cfRule type="cellIs" dxfId="8313" priority="10387" operator="between">
      <formula>0.76</formula>
      <formula>0.95</formula>
    </cfRule>
    <cfRule type="cellIs" dxfId="8312" priority="10388" operator="between">
      <formula>0.51</formula>
      <formula>0.75</formula>
    </cfRule>
    <cfRule type="cellIs" dxfId="8311" priority="10389" operator="greaterThan">
      <formula>1</formula>
    </cfRule>
    <cfRule type="cellIs" dxfId="8310" priority="10390" operator="between">
      <formula>0.95</formula>
      <formula>1</formula>
    </cfRule>
    <cfRule type="cellIs" dxfId="8309" priority="10391" stopIfTrue="1" operator="between">
      <formula>0</formula>
      <formula>0.5</formula>
    </cfRule>
  </conditionalFormatting>
  <conditionalFormatting sqref="M73">
    <cfRule type="cellIs" dxfId="8308" priority="10382" operator="between">
      <formula>0.76</formula>
      <formula>0.95</formula>
    </cfRule>
    <cfRule type="cellIs" dxfId="8307" priority="10383" operator="between">
      <formula>0.51</formula>
      <formula>0.75</formula>
    </cfRule>
    <cfRule type="cellIs" dxfId="8306" priority="10384" operator="greaterThan">
      <formula>1</formula>
    </cfRule>
    <cfRule type="cellIs" dxfId="8305" priority="10385" operator="between">
      <formula>0.95</formula>
      <formula>1</formula>
    </cfRule>
    <cfRule type="cellIs" dxfId="8304" priority="10386" stopIfTrue="1" operator="between">
      <formula>0</formula>
      <formula>0.5</formula>
    </cfRule>
  </conditionalFormatting>
  <conditionalFormatting sqref="M74">
    <cfRule type="cellIs" dxfId="8303" priority="10377" operator="between">
      <formula>0.76</formula>
      <formula>0.95</formula>
    </cfRule>
    <cfRule type="cellIs" dxfId="8302" priority="10378" operator="between">
      <formula>0.51</formula>
      <formula>0.75</formula>
    </cfRule>
    <cfRule type="cellIs" dxfId="8301" priority="10379" operator="greaterThan">
      <formula>1</formula>
    </cfRule>
    <cfRule type="cellIs" dxfId="8300" priority="10380" operator="between">
      <formula>0.95</formula>
      <formula>1</formula>
    </cfRule>
    <cfRule type="cellIs" dxfId="8299" priority="10381" stopIfTrue="1" operator="between">
      <formula>0</formula>
      <formula>0.5</formula>
    </cfRule>
  </conditionalFormatting>
  <conditionalFormatting sqref="M75">
    <cfRule type="cellIs" dxfId="8298" priority="10372" operator="between">
      <formula>0.76</formula>
      <formula>0.95</formula>
    </cfRule>
    <cfRule type="cellIs" dxfId="8297" priority="10373" operator="between">
      <formula>0.51</formula>
      <formula>0.75</formula>
    </cfRule>
    <cfRule type="cellIs" dxfId="8296" priority="10374" operator="greaterThan">
      <formula>1</formula>
    </cfRule>
    <cfRule type="cellIs" dxfId="8295" priority="10375" operator="between">
      <formula>0.95</formula>
      <formula>1</formula>
    </cfRule>
    <cfRule type="cellIs" dxfId="8294" priority="10376" stopIfTrue="1" operator="between">
      <formula>0</formula>
      <formula>0.5</formula>
    </cfRule>
  </conditionalFormatting>
  <conditionalFormatting sqref="M78">
    <cfRule type="cellIs" dxfId="8293" priority="10367" operator="between">
      <formula>0.76</formula>
      <formula>0.95</formula>
    </cfRule>
    <cfRule type="cellIs" dxfId="8292" priority="10368" operator="between">
      <formula>0.51</formula>
      <formula>0.75</formula>
    </cfRule>
    <cfRule type="cellIs" dxfId="8291" priority="10369" operator="greaterThan">
      <formula>1</formula>
    </cfRule>
    <cfRule type="cellIs" dxfId="8290" priority="10370" operator="between">
      <formula>0.95</formula>
      <formula>1</formula>
    </cfRule>
    <cfRule type="cellIs" dxfId="8289" priority="10371" stopIfTrue="1" operator="between">
      <formula>0</formula>
      <formula>0.5</formula>
    </cfRule>
  </conditionalFormatting>
  <conditionalFormatting sqref="M79">
    <cfRule type="cellIs" dxfId="8288" priority="10362" operator="between">
      <formula>0.76</formula>
      <formula>0.95</formula>
    </cfRule>
    <cfRule type="cellIs" dxfId="8287" priority="10363" operator="between">
      <formula>0.51</formula>
      <formula>0.75</formula>
    </cfRule>
    <cfRule type="cellIs" dxfId="8286" priority="10364" operator="greaterThan">
      <formula>1</formula>
    </cfRule>
    <cfRule type="cellIs" dxfId="8285" priority="10365" operator="between">
      <formula>0.95</formula>
      <formula>1</formula>
    </cfRule>
    <cfRule type="cellIs" dxfId="8284" priority="10366" stopIfTrue="1" operator="between">
      <formula>0</formula>
      <formula>0.5</formula>
    </cfRule>
  </conditionalFormatting>
  <conditionalFormatting sqref="M80">
    <cfRule type="cellIs" dxfId="8283" priority="10357" operator="between">
      <formula>0.76</formula>
      <formula>0.95</formula>
    </cfRule>
    <cfRule type="cellIs" dxfId="8282" priority="10358" operator="between">
      <formula>0.51</formula>
      <formula>0.75</formula>
    </cfRule>
    <cfRule type="cellIs" dxfId="8281" priority="10359" operator="greaterThan">
      <formula>1</formula>
    </cfRule>
    <cfRule type="cellIs" dxfId="8280" priority="10360" operator="between">
      <formula>0.95</formula>
      <formula>1</formula>
    </cfRule>
    <cfRule type="cellIs" dxfId="8279" priority="10361" stopIfTrue="1" operator="between">
      <formula>0</formula>
      <formula>0.5</formula>
    </cfRule>
  </conditionalFormatting>
  <conditionalFormatting sqref="M81">
    <cfRule type="cellIs" dxfId="8278" priority="10352" operator="between">
      <formula>0.76</formula>
      <formula>0.95</formula>
    </cfRule>
    <cfRule type="cellIs" dxfId="8277" priority="10353" operator="between">
      <formula>0.51</formula>
      <formula>0.75</formula>
    </cfRule>
    <cfRule type="cellIs" dxfId="8276" priority="10354" operator="greaterThan">
      <formula>1</formula>
    </cfRule>
    <cfRule type="cellIs" dxfId="8275" priority="10355" operator="between">
      <formula>0.95</formula>
      <formula>1</formula>
    </cfRule>
    <cfRule type="cellIs" dxfId="8274" priority="10356" stopIfTrue="1" operator="between">
      <formula>0</formula>
      <formula>0.5</formula>
    </cfRule>
  </conditionalFormatting>
  <conditionalFormatting sqref="M82">
    <cfRule type="cellIs" dxfId="8273" priority="10347" operator="between">
      <formula>0.76</formula>
      <formula>0.95</formula>
    </cfRule>
    <cfRule type="cellIs" dxfId="8272" priority="10348" operator="between">
      <formula>0.51</formula>
      <formula>0.75</formula>
    </cfRule>
    <cfRule type="cellIs" dxfId="8271" priority="10349" operator="greaterThan">
      <formula>1</formula>
    </cfRule>
    <cfRule type="cellIs" dxfId="8270" priority="10350" operator="between">
      <formula>0.95</formula>
      <formula>1</formula>
    </cfRule>
    <cfRule type="cellIs" dxfId="8269" priority="10351" stopIfTrue="1" operator="between">
      <formula>0</formula>
      <formula>0.5</formula>
    </cfRule>
  </conditionalFormatting>
  <conditionalFormatting sqref="M83">
    <cfRule type="cellIs" dxfId="8268" priority="10342" operator="between">
      <formula>0.76</formula>
      <formula>0.95</formula>
    </cfRule>
    <cfRule type="cellIs" dxfId="8267" priority="10343" operator="between">
      <formula>0.51</formula>
      <formula>0.75</formula>
    </cfRule>
    <cfRule type="cellIs" dxfId="8266" priority="10344" operator="greaterThan">
      <formula>1</formula>
    </cfRule>
    <cfRule type="cellIs" dxfId="8265" priority="10345" operator="between">
      <formula>0.95</formula>
      <formula>1</formula>
    </cfRule>
    <cfRule type="cellIs" dxfId="8264" priority="10346" stopIfTrue="1" operator="between">
      <formula>0</formula>
      <formula>0.5</formula>
    </cfRule>
  </conditionalFormatting>
  <conditionalFormatting sqref="M88">
    <cfRule type="cellIs" dxfId="8263" priority="10337" operator="between">
      <formula>0.76</formula>
      <formula>0.95</formula>
    </cfRule>
    <cfRule type="cellIs" dxfId="8262" priority="10338" operator="between">
      <formula>0.51</formula>
      <formula>0.75</formula>
    </cfRule>
    <cfRule type="cellIs" dxfId="8261" priority="10339" operator="greaterThan">
      <formula>1</formula>
    </cfRule>
    <cfRule type="cellIs" dxfId="8260" priority="10340" operator="between">
      <formula>0.95</formula>
      <formula>1</formula>
    </cfRule>
    <cfRule type="cellIs" dxfId="8259" priority="10341" stopIfTrue="1" operator="between">
      <formula>0</formula>
      <formula>0.5</formula>
    </cfRule>
  </conditionalFormatting>
  <conditionalFormatting sqref="M91">
    <cfRule type="cellIs" dxfId="8258" priority="10332" operator="between">
      <formula>0.76</formula>
      <formula>0.95</formula>
    </cfRule>
    <cfRule type="cellIs" dxfId="8257" priority="10333" operator="between">
      <formula>0.51</formula>
      <formula>0.75</formula>
    </cfRule>
    <cfRule type="cellIs" dxfId="8256" priority="10334" operator="greaterThan">
      <formula>1</formula>
    </cfRule>
    <cfRule type="cellIs" dxfId="8255" priority="10335" operator="between">
      <formula>0.95</formula>
      <formula>1</formula>
    </cfRule>
    <cfRule type="cellIs" dxfId="8254" priority="10336" stopIfTrue="1" operator="between">
      <formula>0</formula>
      <formula>0.5</formula>
    </cfRule>
  </conditionalFormatting>
  <conditionalFormatting sqref="M92">
    <cfRule type="cellIs" dxfId="8253" priority="10327" operator="between">
      <formula>0.76</formula>
      <formula>0.95</formula>
    </cfRule>
    <cfRule type="cellIs" dxfId="8252" priority="10328" operator="between">
      <formula>0.51</formula>
      <formula>0.75</formula>
    </cfRule>
    <cfRule type="cellIs" dxfId="8251" priority="10329" operator="greaterThan">
      <formula>1</formula>
    </cfRule>
    <cfRule type="cellIs" dxfId="8250" priority="10330" operator="between">
      <formula>0.95</formula>
      <formula>1</formula>
    </cfRule>
    <cfRule type="cellIs" dxfId="8249" priority="10331" stopIfTrue="1" operator="between">
      <formula>0</formula>
      <formula>0.5</formula>
    </cfRule>
  </conditionalFormatting>
  <conditionalFormatting sqref="M93">
    <cfRule type="cellIs" dxfId="8248" priority="10322" operator="between">
      <formula>0.76</formula>
      <formula>0.95</formula>
    </cfRule>
    <cfRule type="cellIs" dxfId="8247" priority="10323" operator="between">
      <formula>0.51</formula>
      <formula>0.75</formula>
    </cfRule>
    <cfRule type="cellIs" dxfId="8246" priority="10324" operator="greaterThan">
      <formula>1</formula>
    </cfRule>
    <cfRule type="cellIs" dxfId="8245" priority="10325" operator="between">
      <formula>0.95</formula>
      <formula>1</formula>
    </cfRule>
    <cfRule type="cellIs" dxfId="8244" priority="10326" stopIfTrue="1" operator="between">
      <formula>0</formula>
      <formula>0.5</formula>
    </cfRule>
  </conditionalFormatting>
  <conditionalFormatting sqref="M94">
    <cfRule type="cellIs" dxfId="8243" priority="10317" operator="between">
      <formula>0.76</formula>
      <formula>0.95</formula>
    </cfRule>
    <cfRule type="cellIs" dxfId="8242" priority="10318" operator="between">
      <formula>0.51</formula>
      <formula>0.75</formula>
    </cfRule>
    <cfRule type="cellIs" dxfId="8241" priority="10319" operator="greaterThan">
      <formula>1</formula>
    </cfRule>
    <cfRule type="cellIs" dxfId="8240" priority="10320" operator="between">
      <formula>0.95</formula>
      <formula>1</formula>
    </cfRule>
    <cfRule type="cellIs" dxfId="8239" priority="10321" stopIfTrue="1" operator="between">
      <formula>0</formula>
      <formula>0.5</formula>
    </cfRule>
  </conditionalFormatting>
  <conditionalFormatting sqref="M95">
    <cfRule type="cellIs" dxfId="8238" priority="10312" operator="between">
      <formula>0.76</formula>
      <formula>0.95</formula>
    </cfRule>
    <cfRule type="cellIs" dxfId="8237" priority="10313" operator="between">
      <formula>0.51</formula>
      <formula>0.75</formula>
    </cfRule>
    <cfRule type="cellIs" dxfId="8236" priority="10314" operator="greaterThan">
      <formula>1</formula>
    </cfRule>
    <cfRule type="cellIs" dxfId="8235" priority="10315" operator="between">
      <formula>0.95</formula>
      <formula>1</formula>
    </cfRule>
    <cfRule type="cellIs" dxfId="8234" priority="10316" stopIfTrue="1" operator="between">
      <formula>0</formula>
      <formula>0.5</formula>
    </cfRule>
  </conditionalFormatting>
  <conditionalFormatting sqref="M96">
    <cfRule type="cellIs" dxfId="8233" priority="10307" operator="between">
      <formula>0.76</formula>
      <formula>0.95</formula>
    </cfRule>
    <cfRule type="cellIs" dxfId="8232" priority="10308" operator="between">
      <formula>0.51</formula>
      <formula>0.75</formula>
    </cfRule>
    <cfRule type="cellIs" dxfId="8231" priority="10309" operator="greaterThan">
      <formula>1</formula>
    </cfRule>
    <cfRule type="cellIs" dxfId="8230" priority="10310" operator="between">
      <formula>0.95</formula>
      <formula>1</formula>
    </cfRule>
    <cfRule type="cellIs" dxfId="8229" priority="10311" stopIfTrue="1" operator="between">
      <formula>0</formula>
      <formula>0.5</formula>
    </cfRule>
  </conditionalFormatting>
  <conditionalFormatting sqref="M98">
    <cfRule type="cellIs" dxfId="8228" priority="10302" operator="between">
      <formula>0.76</formula>
      <formula>0.95</formula>
    </cfRule>
    <cfRule type="cellIs" dxfId="8227" priority="10303" operator="between">
      <formula>0.51</formula>
      <formula>0.75</formula>
    </cfRule>
    <cfRule type="cellIs" dxfId="8226" priority="10304" operator="greaterThan">
      <formula>1</formula>
    </cfRule>
    <cfRule type="cellIs" dxfId="8225" priority="10305" operator="between">
      <formula>0.95</formula>
      <formula>1</formula>
    </cfRule>
    <cfRule type="cellIs" dxfId="8224" priority="10306" stopIfTrue="1" operator="between">
      <formula>0</formula>
      <formula>0.5</formula>
    </cfRule>
  </conditionalFormatting>
  <conditionalFormatting sqref="M99">
    <cfRule type="cellIs" dxfId="8223" priority="10292" operator="between">
      <formula>0.76</formula>
      <formula>0.95</formula>
    </cfRule>
    <cfRule type="cellIs" dxfId="8222" priority="10293" operator="between">
      <formula>0.51</formula>
      <formula>0.75</formula>
    </cfRule>
    <cfRule type="cellIs" dxfId="8221" priority="10294" operator="greaterThan">
      <formula>1</formula>
    </cfRule>
    <cfRule type="cellIs" dxfId="8220" priority="10295" operator="between">
      <formula>0.95</formula>
      <formula>1</formula>
    </cfRule>
    <cfRule type="cellIs" dxfId="8219" priority="10296" stopIfTrue="1" operator="between">
      <formula>0</formula>
      <formula>0.5</formula>
    </cfRule>
  </conditionalFormatting>
  <conditionalFormatting sqref="M101">
    <cfRule type="cellIs" dxfId="8218" priority="10282" operator="between">
      <formula>0.76</formula>
      <formula>0.95</formula>
    </cfRule>
    <cfRule type="cellIs" dxfId="8217" priority="10283" operator="between">
      <formula>0.51</formula>
      <formula>0.75</formula>
    </cfRule>
    <cfRule type="cellIs" dxfId="8216" priority="10284" operator="greaterThan">
      <formula>1</formula>
    </cfRule>
    <cfRule type="cellIs" dxfId="8215" priority="10285" operator="between">
      <formula>0.95</formula>
      <formula>1</formula>
    </cfRule>
    <cfRule type="cellIs" dxfId="8214" priority="10286" stopIfTrue="1" operator="between">
      <formula>0</formula>
      <formula>0.5</formula>
    </cfRule>
  </conditionalFormatting>
  <conditionalFormatting sqref="M103">
    <cfRule type="cellIs" dxfId="8213" priority="10272" operator="between">
      <formula>0.76</formula>
      <formula>0.95</formula>
    </cfRule>
    <cfRule type="cellIs" dxfId="8212" priority="10273" operator="between">
      <formula>0.51</formula>
      <formula>0.75</formula>
    </cfRule>
    <cfRule type="cellIs" dxfId="8211" priority="10274" operator="greaterThan">
      <formula>1</formula>
    </cfRule>
    <cfRule type="cellIs" dxfId="8210" priority="10275" operator="between">
      <formula>0.95</formula>
      <formula>1</formula>
    </cfRule>
    <cfRule type="cellIs" dxfId="8209" priority="10276" stopIfTrue="1" operator="between">
      <formula>0</formula>
      <formula>0.5</formula>
    </cfRule>
  </conditionalFormatting>
  <conditionalFormatting sqref="M104">
    <cfRule type="cellIs" dxfId="8208" priority="10267" operator="between">
      <formula>0.76</formula>
      <formula>0.95</formula>
    </cfRule>
    <cfRule type="cellIs" dxfId="8207" priority="10268" operator="between">
      <formula>0.51</formula>
      <formula>0.75</formula>
    </cfRule>
    <cfRule type="cellIs" dxfId="8206" priority="10269" operator="greaterThan">
      <formula>1</formula>
    </cfRule>
    <cfRule type="cellIs" dxfId="8205" priority="10270" operator="between">
      <formula>0.95</formula>
      <formula>1</formula>
    </cfRule>
    <cfRule type="cellIs" dxfId="8204" priority="10271" stopIfTrue="1" operator="between">
      <formula>0</formula>
      <formula>0.5</formula>
    </cfRule>
  </conditionalFormatting>
  <conditionalFormatting sqref="M105">
    <cfRule type="cellIs" dxfId="8203" priority="10262" operator="between">
      <formula>0.76</formula>
      <formula>0.95</formula>
    </cfRule>
    <cfRule type="cellIs" dxfId="8202" priority="10263" operator="between">
      <formula>0.51</formula>
      <formula>0.75</formula>
    </cfRule>
    <cfRule type="cellIs" dxfId="8201" priority="10264" operator="greaterThan">
      <formula>1</formula>
    </cfRule>
    <cfRule type="cellIs" dxfId="8200" priority="10265" operator="between">
      <formula>0.95</formula>
      <formula>1</formula>
    </cfRule>
    <cfRule type="cellIs" dxfId="8199" priority="10266" stopIfTrue="1" operator="between">
      <formula>0</formula>
      <formula>0.5</formula>
    </cfRule>
  </conditionalFormatting>
  <conditionalFormatting sqref="M106">
    <cfRule type="cellIs" dxfId="8198" priority="10257" operator="between">
      <formula>0.76</formula>
      <formula>0.95</formula>
    </cfRule>
    <cfRule type="cellIs" dxfId="8197" priority="10258" operator="between">
      <formula>0.51</formula>
      <formula>0.75</formula>
    </cfRule>
    <cfRule type="cellIs" dxfId="8196" priority="10259" operator="greaterThan">
      <formula>1</formula>
    </cfRule>
    <cfRule type="cellIs" dxfId="8195" priority="10260" operator="between">
      <formula>0.95</formula>
      <formula>1</formula>
    </cfRule>
    <cfRule type="cellIs" dxfId="8194" priority="10261" stopIfTrue="1" operator="between">
      <formula>0</formula>
      <formula>0.5</formula>
    </cfRule>
  </conditionalFormatting>
  <conditionalFormatting sqref="M107">
    <cfRule type="cellIs" dxfId="8193" priority="10252" operator="between">
      <formula>0.76</formula>
      <formula>0.95</formula>
    </cfRule>
    <cfRule type="cellIs" dxfId="8192" priority="10253" operator="between">
      <formula>0.51</formula>
      <formula>0.75</formula>
    </cfRule>
    <cfRule type="cellIs" dxfId="8191" priority="10254" operator="greaterThan">
      <formula>1</formula>
    </cfRule>
    <cfRule type="cellIs" dxfId="8190" priority="10255" operator="between">
      <formula>0.95</formula>
      <formula>1</formula>
    </cfRule>
    <cfRule type="cellIs" dxfId="8189" priority="10256" stopIfTrue="1" operator="between">
      <formula>0</formula>
      <formula>0.5</formula>
    </cfRule>
  </conditionalFormatting>
  <conditionalFormatting sqref="M108:M109">
    <cfRule type="cellIs" dxfId="8188" priority="10247" operator="between">
      <formula>0.76</formula>
      <formula>0.95</formula>
    </cfRule>
    <cfRule type="cellIs" dxfId="8187" priority="10248" operator="between">
      <formula>0.51</formula>
      <formula>0.75</formula>
    </cfRule>
    <cfRule type="cellIs" dxfId="8186" priority="10249" operator="greaterThan">
      <formula>1</formula>
    </cfRule>
    <cfRule type="cellIs" dxfId="8185" priority="10250" operator="between">
      <formula>0.95</formula>
      <formula>1</formula>
    </cfRule>
    <cfRule type="cellIs" dxfId="8184" priority="10251" stopIfTrue="1" operator="between">
      <formula>0</formula>
      <formula>0.5</formula>
    </cfRule>
  </conditionalFormatting>
  <conditionalFormatting sqref="M110">
    <cfRule type="cellIs" dxfId="8183" priority="10242" operator="between">
      <formula>0.76</formula>
      <formula>0.95</formula>
    </cfRule>
    <cfRule type="cellIs" dxfId="8182" priority="10243" operator="between">
      <formula>0.51</formula>
      <formula>0.75</formula>
    </cfRule>
    <cfRule type="cellIs" dxfId="8181" priority="10244" operator="greaterThan">
      <formula>1</formula>
    </cfRule>
    <cfRule type="cellIs" dxfId="8180" priority="10245" operator="between">
      <formula>0.95</formula>
      <formula>1</formula>
    </cfRule>
    <cfRule type="cellIs" dxfId="8179" priority="10246" stopIfTrue="1" operator="between">
      <formula>0</formula>
      <formula>0.5</formula>
    </cfRule>
  </conditionalFormatting>
  <conditionalFormatting sqref="M111">
    <cfRule type="cellIs" dxfId="8178" priority="10237" operator="between">
      <formula>0.76</formula>
      <formula>0.95</formula>
    </cfRule>
    <cfRule type="cellIs" dxfId="8177" priority="10238" operator="between">
      <formula>0.51</formula>
      <formula>0.75</formula>
    </cfRule>
    <cfRule type="cellIs" dxfId="8176" priority="10239" operator="greaterThan">
      <formula>1</formula>
    </cfRule>
    <cfRule type="cellIs" dxfId="8175" priority="10240" operator="between">
      <formula>0.95</formula>
      <formula>1</formula>
    </cfRule>
    <cfRule type="cellIs" dxfId="8174" priority="10241" stopIfTrue="1" operator="between">
      <formula>0</formula>
      <formula>0.5</formula>
    </cfRule>
  </conditionalFormatting>
  <conditionalFormatting sqref="M112">
    <cfRule type="cellIs" dxfId="8173" priority="10232" operator="between">
      <formula>0.76</formula>
      <formula>0.95</formula>
    </cfRule>
    <cfRule type="cellIs" dxfId="8172" priority="10233" operator="between">
      <formula>0.51</formula>
      <formula>0.75</formula>
    </cfRule>
    <cfRule type="cellIs" dxfId="8171" priority="10234" operator="greaterThan">
      <formula>1</formula>
    </cfRule>
    <cfRule type="cellIs" dxfId="8170" priority="10235" operator="between">
      <formula>0.95</formula>
      <formula>1</formula>
    </cfRule>
    <cfRule type="cellIs" dxfId="8169" priority="10236" stopIfTrue="1" operator="between">
      <formula>0</formula>
      <formula>0.5</formula>
    </cfRule>
  </conditionalFormatting>
  <conditionalFormatting sqref="M113">
    <cfRule type="cellIs" dxfId="8168" priority="10227" operator="between">
      <formula>0.76</formula>
      <formula>0.95</formula>
    </cfRule>
    <cfRule type="cellIs" dxfId="8167" priority="10228" operator="between">
      <formula>0.51</formula>
      <formula>0.75</formula>
    </cfRule>
    <cfRule type="cellIs" dxfId="8166" priority="10229" operator="greaterThan">
      <formula>1</formula>
    </cfRule>
    <cfRule type="cellIs" dxfId="8165" priority="10230" operator="between">
      <formula>0.95</formula>
      <formula>1</formula>
    </cfRule>
    <cfRule type="cellIs" dxfId="8164" priority="10231" stopIfTrue="1" operator="between">
      <formula>0</formula>
      <formula>0.5</formula>
    </cfRule>
  </conditionalFormatting>
  <conditionalFormatting sqref="M114">
    <cfRule type="cellIs" dxfId="8163" priority="10217" operator="between">
      <formula>0.76</formula>
      <formula>0.95</formula>
    </cfRule>
    <cfRule type="cellIs" dxfId="8162" priority="10218" operator="between">
      <formula>0.51</formula>
      <formula>0.75</formula>
    </cfRule>
    <cfRule type="cellIs" dxfId="8161" priority="10219" operator="greaterThan">
      <formula>1</formula>
    </cfRule>
    <cfRule type="cellIs" dxfId="8160" priority="10220" operator="between">
      <formula>0.95</formula>
      <formula>1</formula>
    </cfRule>
    <cfRule type="cellIs" dxfId="8159" priority="10221" stopIfTrue="1" operator="between">
      <formula>0</formula>
      <formula>0.5</formula>
    </cfRule>
  </conditionalFormatting>
  <conditionalFormatting sqref="M115">
    <cfRule type="cellIs" dxfId="8158" priority="10212" operator="between">
      <formula>0.76</formula>
      <formula>0.95</formula>
    </cfRule>
    <cfRule type="cellIs" dxfId="8157" priority="10213" operator="between">
      <formula>0.51</formula>
      <formula>0.75</formula>
    </cfRule>
    <cfRule type="cellIs" dxfId="8156" priority="10214" operator="greaterThan">
      <formula>1</formula>
    </cfRule>
    <cfRule type="cellIs" dxfId="8155" priority="10215" operator="between">
      <formula>0.95</formula>
      <formula>1</formula>
    </cfRule>
    <cfRule type="cellIs" dxfId="8154" priority="10216" stopIfTrue="1" operator="between">
      <formula>0</formula>
      <formula>0.5</formula>
    </cfRule>
  </conditionalFormatting>
  <conditionalFormatting sqref="M116">
    <cfRule type="cellIs" dxfId="8153" priority="10207" operator="between">
      <formula>0.76</formula>
      <formula>0.95</formula>
    </cfRule>
    <cfRule type="cellIs" dxfId="8152" priority="10208" operator="between">
      <formula>0.51</formula>
      <formula>0.75</formula>
    </cfRule>
    <cfRule type="cellIs" dxfId="8151" priority="10209" operator="greaterThan">
      <formula>1</formula>
    </cfRule>
    <cfRule type="cellIs" dxfId="8150" priority="10210" operator="between">
      <formula>0.95</formula>
      <formula>1</formula>
    </cfRule>
    <cfRule type="cellIs" dxfId="8149" priority="10211" stopIfTrue="1" operator="between">
      <formula>0</formula>
      <formula>0.5</formula>
    </cfRule>
  </conditionalFormatting>
  <conditionalFormatting sqref="M117">
    <cfRule type="cellIs" dxfId="8148" priority="10202" operator="between">
      <formula>0.76</formula>
      <formula>0.95</formula>
    </cfRule>
    <cfRule type="cellIs" dxfId="8147" priority="10203" operator="between">
      <formula>0.51</formula>
      <formula>0.75</formula>
    </cfRule>
    <cfRule type="cellIs" dxfId="8146" priority="10204" operator="greaterThan">
      <formula>1</formula>
    </cfRule>
    <cfRule type="cellIs" dxfId="8145" priority="10205" operator="between">
      <formula>0.95</formula>
      <formula>1</formula>
    </cfRule>
    <cfRule type="cellIs" dxfId="8144" priority="10206" stopIfTrue="1" operator="between">
      <formula>0</formula>
      <formula>0.5</formula>
    </cfRule>
  </conditionalFormatting>
  <conditionalFormatting sqref="M118">
    <cfRule type="cellIs" dxfId="8143" priority="10197" operator="between">
      <formula>0.76</formula>
      <formula>0.95</formula>
    </cfRule>
    <cfRule type="cellIs" dxfId="8142" priority="10198" operator="between">
      <formula>0.51</formula>
      <formula>0.75</formula>
    </cfRule>
    <cfRule type="cellIs" dxfId="8141" priority="10199" operator="greaterThan">
      <formula>1</formula>
    </cfRule>
    <cfRule type="cellIs" dxfId="8140" priority="10200" operator="between">
      <formula>0.95</formula>
      <formula>1</formula>
    </cfRule>
    <cfRule type="cellIs" dxfId="8139" priority="10201" stopIfTrue="1" operator="between">
      <formula>0</formula>
      <formula>0.5</formula>
    </cfRule>
  </conditionalFormatting>
  <conditionalFormatting sqref="M119">
    <cfRule type="cellIs" dxfId="8138" priority="10192" operator="between">
      <formula>0.76</formula>
      <formula>0.95</formula>
    </cfRule>
    <cfRule type="cellIs" dxfId="8137" priority="10193" operator="between">
      <formula>0.51</formula>
      <formula>0.75</formula>
    </cfRule>
    <cfRule type="cellIs" dxfId="8136" priority="10194" operator="greaterThan">
      <formula>1</formula>
    </cfRule>
    <cfRule type="cellIs" dxfId="8135" priority="10195" operator="between">
      <formula>0.95</formula>
      <formula>1</formula>
    </cfRule>
    <cfRule type="cellIs" dxfId="8134" priority="10196" stopIfTrue="1" operator="between">
      <formula>0</formula>
      <formula>0.5</formula>
    </cfRule>
  </conditionalFormatting>
  <conditionalFormatting sqref="M120">
    <cfRule type="cellIs" dxfId="8133" priority="10187" operator="between">
      <formula>0.76</formula>
      <formula>0.95</formula>
    </cfRule>
    <cfRule type="cellIs" dxfId="8132" priority="10188" operator="between">
      <formula>0.51</formula>
      <formula>0.75</formula>
    </cfRule>
    <cfRule type="cellIs" dxfId="8131" priority="10189" operator="greaterThan">
      <formula>1</formula>
    </cfRule>
    <cfRule type="cellIs" dxfId="8130" priority="10190" operator="between">
      <formula>0.95</formula>
      <formula>1</formula>
    </cfRule>
    <cfRule type="cellIs" dxfId="8129" priority="10191" stopIfTrue="1" operator="between">
      <formula>0</formula>
      <formula>0.5</formula>
    </cfRule>
  </conditionalFormatting>
  <conditionalFormatting sqref="M121">
    <cfRule type="cellIs" dxfId="8128" priority="10182" operator="between">
      <formula>0.76</formula>
      <formula>0.95</formula>
    </cfRule>
    <cfRule type="cellIs" dxfId="8127" priority="10183" operator="between">
      <formula>0.51</formula>
      <formula>0.75</formula>
    </cfRule>
    <cfRule type="cellIs" dxfId="8126" priority="10184" operator="greaterThan">
      <formula>1</formula>
    </cfRule>
    <cfRule type="cellIs" dxfId="8125" priority="10185" operator="between">
      <formula>0.95</formula>
      <formula>1</formula>
    </cfRule>
    <cfRule type="cellIs" dxfId="8124" priority="10186" stopIfTrue="1" operator="between">
      <formula>0</formula>
      <formula>0.5</formula>
    </cfRule>
  </conditionalFormatting>
  <conditionalFormatting sqref="M122">
    <cfRule type="cellIs" dxfId="8123" priority="10177" operator="between">
      <formula>0.76</formula>
      <formula>0.95</formula>
    </cfRule>
    <cfRule type="cellIs" dxfId="8122" priority="10178" operator="between">
      <formula>0.51</formula>
      <formula>0.75</formula>
    </cfRule>
    <cfRule type="cellIs" dxfId="8121" priority="10179" operator="greaterThan">
      <formula>1</formula>
    </cfRule>
    <cfRule type="cellIs" dxfId="8120" priority="10180" operator="between">
      <formula>0.95</formula>
      <formula>1</formula>
    </cfRule>
    <cfRule type="cellIs" dxfId="8119" priority="10181" stopIfTrue="1" operator="between">
      <formula>0</formula>
      <formula>0.5</formula>
    </cfRule>
  </conditionalFormatting>
  <conditionalFormatting sqref="M123">
    <cfRule type="cellIs" dxfId="8118" priority="10172" operator="between">
      <formula>0.76</formula>
      <formula>0.95</formula>
    </cfRule>
    <cfRule type="cellIs" dxfId="8117" priority="10173" operator="between">
      <formula>0.51</formula>
      <formula>0.75</formula>
    </cfRule>
    <cfRule type="cellIs" dxfId="8116" priority="10174" operator="greaterThan">
      <formula>1</formula>
    </cfRule>
    <cfRule type="cellIs" dxfId="8115" priority="10175" operator="between">
      <formula>0.95</formula>
      <formula>1</formula>
    </cfRule>
    <cfRule type="cellIs" dxfId="8114" priority="10176" stopIfTrue="1" operator="between">
      <formula>0</formula>
      <formula>0.5</formula>
    </cfRule>
  </conditionalFormatting>
  <conditionalFormatting sqref="M124">
    <cfRule type="cellIs" dxfId="8113" priority="10167" operator="between">
      <formula>0.76</formula>
      <formula>0.95</formula>
    </cfRule>
    <cfRule type="cellIs" dxfId="8112" priority="10168" operator="between">
      <formula>0.51</formula>
      <formula>0.75</formula>
    </cfRule>
    <cfRule type="cellIs" dxfId="8111" priority="10169" operator="greaterThan">
      <formula>1</formula>
    </cfRule>
    <cfRule type="cellIs" dxfId="8110" priority="10170" operator="between">
      <formula>0.95</formula>
      <formula>1</formula>
    </cfRule>
    <cfRule type="cellIs" dxfId="8109" priority="10171" stopIfTrue="1" operator="between">
      <formula>0</formula>
      <formula>0.5</formula>
    </cfRule>
  </conditionalFormatting>
  <conditionalFormatting sqref="M125">
    <cfRule type="cellIs" dxfId="8108" priority="10162" operator="between">
      <formula>0.76</formula>
      <formula>0.95</formula>
    </cfRule>
    <cfRule type="cellIs" dxfId="8107" priority="10163" operator="between">
      <formula>0.51</formula>
      <formula>0.75</formula>
    </cfRule>
    <cfRule type="cellIs" dxfId="8106" priority="10164" operator="greaterThan">
      <formula>1</formula>
    </cfRule>
    <cfRule type="cellIs" dxfId="8105" priority="10165" operator="between">
      <formula>0.95</formula>
      <formula>1</formula>
    </cfRule>
    <cfRule type="cellIs" dxfId="8104" priority="10166" stopIfTrue="1" operator="between">
      <formula>0</formula>
      <formula>0.5</formula>
    </cfRule>
  </conditionalFormatting>
  <conditionalFormatting sqref="M126">
    <cfRule type="cellIs" dxfId="8103" priority="10157" operator="between">
      <formula>0.76</formula>
      <formula>0.95</formula>
    </cfRule>
    <cfRule type="cellIs" dxfId="8102" priority="10158" operator="between">
      <formula>0.51</formula>
      <formula>0.75</formula>
    </cfRule>
    <cfRule type="cellIs" dxfId="8101" priority="10159" operator="greaterThan">
      <formula>1</formula>
    </cfRule>
    <cfRule type="cellIs" dxfId="8100" priority="10160" operator="between">
      <formula>0.95</formula>
      <formula>1</formula>
    </cfRule>
    <cfRule type="cellIs" dxfId="8099" priority="10161" stopIfTrue="1" operator="between">
      <formula>0</formula>
      <formula>0.5</formula>
    </cfRule>
  </conditionalFormatting>
  <conditionalFormatting sqref="M127">
    <cfRule type="cellIs" dxfId="8098" priority="10152" operator="between">
      <formula>0.76</formula>
      <formula>0.95</formula>
    </cfRule>
    <cfRule type="cellIs" dxfId="8097" priority="10153" operator="between">
      <formula>0.51</formula>
      <formula>0.75</formula>
    </cfRule>
    <cfRule type="cellIs" dxfId="8096" priority="10154" operator="greaterThan">
      <formula>1</formula>
    </cfRule>
    <cfRule type="cellIs" dxfId="8095" priority="10155" operator="between">
      <formula>0.95</formula>
      <formula>1</formula>
    </cfRule>
    <cfRule type="cellIs" dxfId="8094" priority="10156" stopIfTrue="1" operator="between">
      <formula>0</formula>
      <formula>0.5</formula>
    </cfRule>
  </conditionalFormatting>
  <conditionalFormatting sqref="M128">
    <cfRule type="cellIs" dxfId="8093" priority="10147" operator="between">
      <formula>0.76</formula>
      <formula>0.95</formula>
    </cfRule>
    <cfRule type="cellIs" dxfId="8092" priority="10148" operator="between">
      <formula>0.51</formula>
      <formula>0.75</formula>
    </cfRule>
    <cfRule type="cellIs" dxfId="8091" priority="10149" operator="greaterThan">
      <formula>1</formula>
    </cfRule>
    <cfRule type="cellIs" dxfId="8090" priority="10150" operator="between">
      <formula>0.95</formula>
      <formula>1</formula>
    </cfRule>
    <cfRule type="cellIs" dxfId="8089" priority="10151" stopIfTrue="1" operator="between">
      <formula>0</formula>
      <formula>0.5</formula>
    </cfRule>
  </conditionalFormatting>
  <conditionalFormatting sqref="M129">
    <cfRule type="cellIs" dxfId="8088" priority="10142" operator="between">
      <formula>0.76</formula>
      <formula>0.95</formula>
    </cfRule>
    <cfRule type="cellIs" dxfId="8087" priority="10143" operator="between">
      <formula>0.51</formula>
      <formula>0.75</formula>
    </cfRule>
    <cfRule type="cellIs" dxfId="8086" priority="10144" operator="greaterThan">
      <formula>1</formula>
    </cfRule>
    <cfRule type="cellIs" dxfId="8085" priority="10145" operator="between">
      <formula>0.95</formula>
      <formula>1</formula>
    </cfRule>
    <cfRule type="cellIs" dxfId="8084" priority="10146" stopIfTrue="1" operator="between">
      <formula>0</formula>
      <formula>0.5</formula>
    </cfRule>
  </conditionalFormatting>
  <conditionalFormatting sqref="M130">
    <cfRule type="cellIs" dxfId="8083" priority="10137" operator="between">
      <formula>0.76</formula>
      <formula>0.95</formula>
    </cfRule>
    <cfRule type="cellIs" dxfId="8082" priority="10138" operator="between">
      <formula>0.51</formula>
      <formula>0.75</formula>
    </cfRule>
    <cfRule type="cellIs" dxfId="8081" priority="10139" operator="greaterThan">
      <formula>1</formula>
    </cfRule>
    <cfRule type="cellIs" dxfId="8080" priority="10140" operator="between">
      <formula>0.95</formula>
      <formula>1</formula>
    </cfRule>
    <cfRule type="cellIs" dxfId="8079" priority="10141" stopIfTrue="1" operator="between">
      <formula>0</formula>
      <formula>0.5</formula>
    </cfRule>
  </conditionalFormatting>
  <conditionalFormatting sqref="M131">
    <cfRule type="cellIs" dxfId="8078" priority="10132" operator="between">
      <formula>0.76</formula>
      <formula>0.95</formula>
    </cfRule>
    <cfRule type="cellIs" dxfId="8077" priority="10133" operator="between">
      <formula>0.51</formula>
      <formula>0.75</formula>
    </cfRule>
    <cfRule type="cellIs" dxfId="8076" priority="10134" operator="greaterThan">
      <formula>1</formula>
    </cfRule>
    <cfRule type="cellIs" dxfId="8075" priority="10135" operator="between">
      <formula>0.95</formula>
      <formula>1</formula>
    </cfRule>
    <cfRule type="cellIs" dxfId="8074" priority="10136" stopIfTrue="1" operator="between">
      <formula>0</formula>
      <formula>0.5</formula>
    </cfRule>
  </conditionalFormatting>
  <conditionalFormatting sqref="M132">
    <cfRule type="cellIs" dxfId="8073" priority="10127" operator="between">
      <formula>0.76</formula>
      <formula>0.95</formula>
    </cfRule>
    <cfRule type="cellIs" dxfId="8072" priority="10128" operator="between">
      <formula>0.51</formula>
      <formula>0.75</formula>
    </cfRule>
    <cfRule type="cellIs" dxfId="8071" priority="10129" operator="greaterThan">
      <formula>1</formula>
    </cfRule>
    <cfRule type="cellIs" dxfId="8070" priority="10130" operator="between">
      <formula>0.95</formula>
      <formula>1</formula>
    </cfRule>
    <cfRule type="cellIs" dxfId="8069" priority="10131" stopIfTrue="1" operator="between">
      <formula>0</formula>
      <formula>0.5</formula>
    </cfRule>
  </conditionalFormatting>
  <conditionalFormatting sqref="M133">
    <cfRule type="cellIs" dxfId="8068" priority="10122" operator="between">
      <formula>0.76</formula>
      <formula>0.95</formula>
    </cfRule>
    <cfRule type="cellIs" dxfId="8067" priority="10123" operator="between">
      <formula>0.51</formula>
      <formula>0.75</formula>
    </cfRule>
    <cfRule type="cellIs" dxfId="8066" priority="10124" operator="greaterThan">
      <formula>1</formula>
    </cfRule>
    <cfRule type="cellIs" dxfId="8065" priority="10125" operator="between">
      <formula>0.95</formula>
      <formula>1</formula>
    </cfRule>
    <cfRule type="cellIs" dxfId="8064" priority="10126" stopIfTrue="1" operator="between">
      <formula>0</formula>
      <formula>0.5</formula>
    </cfRule>
  </conditionalFormatting>
  <conditionalFormatting sqref="M134">
    <cfRule type="cellIs" dxfId="8063" priority="10117" operator="between">
      <formula>0.76</formula>
      <formula>0.95</formula>
    </cfRule>
    <cfRule type="cellIs" dxfId="8062" priority="10118" operator="between">
      <formula>0.51</formula>
      <formula>0.75</formula>
    </cfRule>
    <cfRule type="cellIs" dxfId="8061" priority="10119" operator="greaterThan">
      <formula>1</formula>
    </cfRule>
    <cfRule type="cellIs" dxfId="8060" priority="10120" operator="between">
      <formula>0.95</formula>
      <formula>1</formula>
    </cfRule>
    <cfRule type="cellIs" dxfId="8059" priority="10121" stopIfTrue="1" operator="between">
      <formula>0</formula>
      <formula>0.5</formula>
    </cfRule>
  </conditionalFormatting>
  <conditionalFormatting sqref="M136">
    <cfRule type="cellIs" dxfId="8058" priority="10112" operator="between">
      <formula>0.76</formula>
      <formula>0.95</formula>
    </cfRule>
    <cfRule type="cellIs" dxfId="8057" priority="10113" operator="between">
      <formula>0.51</formula>
      <formula>0.75</formula>
    </cfRule>
    <cfRule type="cellIs" dxfId="8056" priority="10114" operator="greaterThan">
      <formula>1</formula>
    </cfRule>
    <cfRule type="cellIs" dxfId="8055" priority="10115" operator="between">
      <formula>0.95</formula>
      <formula>1</formula>
    </cfRule>
    <cfRule type="cellIs" dxfId="8054" priority="10116" stopIfTrue="1" operator="between">
      <formula>0</formula>
      <formula>0.5</formula>
    </cfRule>
  </conditionalFormatting>
  <conditionalFormatting sqref="M137">
    <cfRule type="cellIs" dxfId="8053" priority="10107" operator="between">
      <formula>0.76</formula>
      <formula>0.95</formula>
    </cfRule>
    <cfRule type="cellIs" dxfId="8052" priority="10108" operator="between">
      <formula>0.51</formula>
      <formula>0.75</formula>
    </cfRule>
    <cfRule type="cellIs" dxfId="8051" priority="10109" operator="greaterThan">
      <formula>1</formula>
    </cfRule>
    <cfRule type="cellIs" dxfId="8050" priority="10110" operator="between">
      <formula>0.95</formula>
      <formula>1</formula>
    </cfRule>
    <cfRule type="cellIs" dxfId="8049" priority="10111" stopIfTrue="1" operator="between">
      <formula>0</formula>
      <formula>0.5</formula>
    </cfRule>
  </conditionalFormatting>
  <conditionalFormatting sqref="M138">
    <cfRule type="cellIs" dxfId="8048" priority="10102" operator="between">
      <formula>0.76</formula>
      <formula>0.95</formula>
    </cfRule>
    <cfRule type="cellIs" dxfId="8047" priority="10103" operator="between">
      <formula>0.51</formula>
      <formula>0.75</formula>
    </cfRule>
    <cfRule type="cellIs" dxfId="8046" priority="10104" operator="greaterThan">
      <formula>1</formula>
    </cfRule>
    <cfRule type="cellIs" dxfId="8045" priority="10105" operator="between">
      <formula>0.95</formula>
      <formula>1</formula>
    </cfRule>
    <cfRule type="cellIs" dxfId="8044" priority="10106" stopIfTrue="1" operator="between">
      <formula>0</formula>
      <formula>0.5</formula>
    </cfRule>
  </conditionalFormatting>
  <conditionalFormatting sqref="M139">
    <cfRule type="cellIs" dxfId="8043" priority="10097" operator="between">
      <formula>0.76</formula>
      <formula>0.95</formula>
    </cfRule>
    <cfRule type="cellIs" dxfId="8042" priority="10098" operator="between">
      <formula>0.51</formula>
      <formula>0.75</formula>
    </cfRule>
    <cfRule type="cellIs" dxfId="8041" priority="10099" operator="greaterThan">
      <formula>1</formula>
    </cfRule>
    <cfRule type="cellIs" dxfId="8040" priority="10100" operator="between">
      <formula>0.95</formula>
      <formula>1</formula>
    </cfRule>
    <cfRule type="cellIs" dxfId="8039" priority="10101" stopIfTrue="1" operator="between">
      <formula>0</formula>
      <formula>0.5</formula>
    </cfRule>
  </conditionalFormatting>
  <conditionalFormatting sqref="M140">
    <cfRule type="cellIs" dxfId="8038" priority="10092" operator="between">
      <formula>0.76</formula>
      <formula>0.95</formula>
    </cfRule>
    <cfRule type="cellIs" dxfId="8037" priority="10093" operator="between">
      <formula>0.51</formula>
      <formula>0.75</formula>
    </cfRule>
    <cfRule type="cellIs" dxfId="8036" priority="10094" operator="greaterThan">
      <formula>1</formula>
    </cfRule>
    <cfRule type="cellIs" dxfId="8035" priority="10095" operator="between">
      <formula>0.95</formula>
      <formula>1</formula>
    </cfRule>
    <cfRule type="cellIs" dxfId="8034" priority="10096" stopIfTrue="1" operator="between">
      <formula>0</formula>
      <formula>0.5</formula>
    </cfRule>
  </conditionalFormatting>
  <conditionalFormatting sqref="M141">
    <cfRule type="cellIs" dxfId="8033" priority="10087" operator="between">
      <formula>0.76</formula>
      <formula>0.95</formula>
    </cfRule>
    <cfRule type="cellIs" dxfId="8032" priority="10088" operator="between">
      <formula>0.51</formula>
      <formula>0.75</formula>
    </cfRule>
    <cfRule type="cellIs" dxfId="8031" priority="10089" operator="greaterThan">
      <formula>1</formula>
    </cfRule>
    <cfRule type="cellIs" dxfId="8030" priority="10090" operator="between">
      <formula>0.95</formula>
      <formula>1</formula>
    </cfRule>
    <cfRule type="cellIs" dxfId="8029" priority="10091" stopIfTrue="1" operator="between">
      <formula>0</formula>
      <formula>0.5</formula>
    </cfRule>
  </conditionalFormatting>
  <conditionalFormatting sqref="M142">
    <cfRule type="cellIs" dxfId="8028" priority="10082" operator="between">
      <formula>0.76</formula>
      <formula>0.95</formula>
    </cfRule>
    <cfRule type="cellIs" dxfId="8027" priority="10083" operator="between">
      <formula>0.51</formula>
      <formula>0.75</formula>
    </cfRule>
    <cfRule type="cellIs" dxfId="8026" priority="10084" operator="greaterThan">
      <formula>1</formula>
    </cfRule>
    <cfRule type="cellIs" dxfId="8025" priority="10085" operator="between">
      <formula>0.95</formula>
      <formula>1</formula>
    </cfRule>
    <cfRule type="cellIs" dxfId="8024" priority="10086" stopIfTrue="1" operator="between">
      <formula>0</formula>
      <formula>0.5</formula>
    </cfRule>
  </conditionalFormatting>
  <conditionalFormatting sqref="M143">
    <cfRule type="cellIs" dxfId="8023" priority="10077" operator="between">
      <formula>0.76</formula>
      <formula>0.95</formula>
    </cfRule>
    <cfRule type="cellIs" dxfId="8022" priority="10078" operator="between">
      <formula>0.51</formula>
      <formula>0.75</formula>
    </cfRule>
    <cfRule type="cellIs" dxfId="8021" priority="10079" operator="greaterThan">
      <formula>1</formula>
    </cfRule>
    <cfRule type="cellIs" dxfId="8020" priority="10080" operator="between">
      <formula>0.95</formula>
      <formula>1</formula>
    </cfRule>
    <cfRule type="cellIs" dxfId="8019" priority="10081" stopIfTrue="1" operator="between">
      <formula>0</formula>
      <formula>0.5</formula>
    </cfRule>
  </conditionalFormatting>
  <conditionalFormatting sqref="M144">
    <cfRule type="cellIs" dxfId="8018" priority="10067" operator="between">
      <formula>0.76</formula>
      <formula>0.95</formula>
    </cfRule>
    <cfRule type="cellIs" dxfId="8017" priority="10068" operator="between">
      <formula>0.51</formula>
      <formula>0.75</formula>
    </cfRule>
    <cfRule type="cellIs" dxfId="8016" priority="10069" operator="greaterThan">
      <formula>1</formula>
    </cfRule>
    <cfRule type="cellIs" dxfId="8015" priority="10070" operator="between">
      <formula>0.95</formula>
      <formula>1</formula>
    </cfRule>
    <cfRule type="cellIs" dxfId="8014" priority="10071" stopIfTrue="1" operator="between">
      <formula>0</formula>
      <formula>0.5</formula>
    </cfRule>
  </conditionalFormatting>
  <conditionalFormatting sqref="M145">
    <cfRule type="cellIs" dxfId="8013" priority="10062" operator="between">
      <formula>0.76</formula>
      <formula>0.95</formula>
    </cfRule>
    <cfRule type="cellIs" dxfId="8012" priority="10063" operator="between">
      <formula>0.51</formula>
      <formula>0.75</formula>
    </cfRule>
    <cfRule type="cellIs" dxfId="8011" priority="10064" operator="greaterThan">
      <formula>1</formula>
    </cfRule>
    <cfRule type="cellIs" dxfId="8010" priority="10065" operator="between">
      <formula>0.95</formula>
      <formula>1</formula>
    </cfRule>
    <cfRule type="cellIs" dxfId="8009" priority="10066" stopIfTrue="1" operator="between">
      <formula>0</formula>
      <formula>0.5</formula>
    </cfRule>
  </conditionalFormatting>
  <conditionalFormatting sqref="M146">
    <cfRule type="cellIs" dxfId="8008" priority="10057" operator="between">
      <formula>0.76</formula>
      <formula>0.95</formula>
    </cfRule>
    <cfRule type="cellIs" dxfId="8007" priority="10058" operator="between">
      <formula>0.51</formula>
      <formula>0.75</formula>
    </cfRule>
    <cfRule type="cellIs" dxfId="8006" priority="10059" operator="greaterThan">
      <formula>1</formula>
    </cfRule>
    <cfRule type="cellIs" dxfId="8005" priority="10060" operator="between">
      <formula>0.95</formula>
      <formula>1</formula>
    </cfRule>
    <cfRule type="cellIs" dxfId="8004" priority="10061" stopIfTrue="1" operator="between">
      <formula>0</formula>
      <formula>0.5</formula>
    </cfRule>
  </conditionalFormatting>
  <conditionalFormatting sqref="M147">
    <cfRule type="cellIs" dxfId="8003" priority="10052" operator="between">
      <formula>0.76</formula>
      <formula>0.95</formula>
    </cfRule>
    <cfRule type="cellIs" dxfId="8002" priority="10053" operator="between">
      <formula>0.51</formula>
      <formula>0.75</formula>
    </cfRule>
    <cfRule type="cellIs" dxfId="8001" priority="10054" operator="greaterThan">
      <formula>1</formula>
    </cfRule>
    <cfRule type="cellIs" dxfId="8000" priority="10055" operator="between">
      <formula>0.95</formula>
      <formula>1</formula>
    </cfRule>
    <cfRule type="cellIs" dxfId="7999" priority="10056" stopIfTrue="1" operator="between">
      <formula>0</formula>
      <formula>0.5</formula>
    </cfRule>
  </conditionalFormatting>
  <conditionalFormatting sqref="M148">
    <cfRule type="cellIs" dxfId="7998" priority="10047" operator="between">
      <formula>0.76</formula>
      <formula>0.95</formula>
    </cfRule>
    <cfRule type="cellIs" dxfId="7997" priority="10048" operator="between">
      <formula>0.51</formula>
      <formula>0.75</formula>
    </cfRule>
    <cfRule type="cellIs" dxfId="7996" priority="10049" operator="greaterThan">
      <formula>1</formula>
    </cfRule>
    <cfRule type="cellIs" dxfId="7995" priority="10050" operator="between">
      <formula>0.95</formula>
      <formula>1</formula>
    </cfRule>
    <cfRule type="cellIs" dxfId="7994" priority="10051" stopIfTrue="1" operator="between">
      <formula>0</formula>
      <formula>0.5</formula>
    </cfRule>
  </conditionalFormatting>
  <conditionalFormatting sqref="M149">
    <cfRule type="cellIs" dxfId="7993" priority="10042" operator="between">
      <formula>0.76</formula>
      <formula>0.95</formula>
    </cfRule>
    <cfRule type="cellIs" dxfId="7992" priority="10043" operator="between">
      <formula>0.51</formula>
      <formula>0.75</formula>
    </cfRule>
    <cfRule type="cellIs" dxfId="7991" priority="10044" operator="greaterThan">
      <formula>1</formula>
    </cfRule>
    <cfRule type="cellIs" dxfId="7990" priority="10045" operator="between">
      <formula>0.95</formula>
      <formula>1</formula>
    </cfRule>
    <cfRule type="cellIs" dxfId="7989" priority="10046" stopIfTrue="1" operator="between">
      <formula>0</formula>
      <formula>0.5</formula>
    </cfRule>
  </conditionalFormatting>
  <conditionalFormatting sqref="M150">
    <cfRule type="cellIs" dxfId="7988" priority="10037" operator="between">
      <formula>0.76</formula>
      <formula>0.95</formula>
    </cfRule>
    <cfRule type="cellIs" dxfId="7987" priority="10038" operator="between">
      <formula>0.51</formula>
      <formula>0.75</formula>
    </cfRule>
    <cfRule type="cellIs" dxfId="7986" priority="10039" operator="greaterThan">
      <formula>1</formula>
    </cfRule>
    <cfRule type="cellIs" dxfId="7985" priority="10040" operator="between">
      <formula>0.95</formula>
      <formula>1</formula>
    </cfRule>
    <cfRule type="cellIs" dxfId="7984" priority="10041" stopIfTrue="1" operator="between">
      <formula>0</formula>
      <formula>0.5</formula>
    </cfRule>
  </conditionalFormatting>
  <conditionalFormatting sqref="M151">
    <cfRule type="cellIs" dxfId="7983" priority="10032" operator="between">
      <formula>0.76</formula>
      <formula>0.95</formula>
    </cfRule>
    <cfRule type="cellIs" dxfId="7982" priority="10033" operator="between">
      <formula>0.51</formula>
      <formula>0.75</formula>
    </cfRule>
    <cfRule type="cellIs" dxfId="7981" priority="10034" operator="greaterThan">
      <formula>1</formula>
    </cfRule>
    <cfRule type="cellIs" dxfId="7980" priority="10035" operator="between">
      <formula>0.95</formula>
      <formula>1</formula>
    </cfRule>
    <cfRule type="cellIs" dxfId="7979" priority="10036" stopIfTrue="1" operator="between">
      <formula>0</formula>
      <formula>0.5</formula>
    </cfRule>
  </conditionalFormatting>
  <conditionalFormatting sqref="M152">
    <cfRule type="cellIs" dxfId="7978" priority="10027" operator="between">
      <formula>0.76</formula>
      <formula>0.95</formula>
    </cfRule>
    <cfRule type="cellIs" dxfId="7977" priority="10028" operator="between">
      <formula>0.51</formula>
      <formula>0.75</formula>
    </cfRule>
    <cfRule type="cellIs" dxfId="7976" priority="10029" operator="greaterThan">
      <formula>1</formula>
    </cfRule>
    <cfRule type="cellIs" dxfId="7975" priority="10030" operator="between">
      <formula>0.95</formula>
      <formula>1</formula>
    </cfRule>
    <cfRule type="cellIs" dxfId="7974" priority="10031" stopIfTrue="1" operator="between">
      <formula>0</formula>
      <formula>0.5</formula>
    </cfRule>
  </conditionalFormatting>
  <conditionalFormatting sqref="M153">
    <cfRule type="cellIs" dxfId="7973" priority="10022" operator="between">
      <formula>0.76</formula>
      <formula>0.95</formula>
    </cfRule>
    <cfRule type="cellIs" dxfId="7972" priority="10023" operator="between">
      <formula>0.51</formula>
      <formula>0.75</formula>
    </cfRule>
    <cfRule type="cellIs" dxfId="7971" priority="10024" operator="greaterThan">
      <formula>1</formula>
    </cfRule>
    <cfRule type="cellIs" dxfId="7970" priority="10025" operator="between">
      <formula>0.95</formula>
      <formula>1</formula>
    </cfRule>
    <cfRule type="cellIs" dxfId="7969" priority="10026" stopIfTrue="1" operator="between">
      <formula>0</formula>
      <formula>0.5</formula>
    </cfRule>
  </conditionalFormatting>
  <conditionalFormatting sqref="M154">
    <cfRule type="cellIs" dxfId="7968" priority="10017" operator="between">
      <formula>0.76</formula>
      <formula>0.95</formula>
    </cfRule>
    <cfRule type="cellIs" dxfId="7967" priority="10018" operator="between">
      <formula>0.51</formula>
      <formula>0.75</formula>
    </cfRule>
    <cfRule type="cellIs" dxfId="7966" priority="10019" operator="greaterThan">
      <formula>1</formula>
    </cfRule>
    <cfRule type="cellIs" dxfId="7965" priority="10020" operator="between">
      <formula>0.95</formula>
      <formula>1</formula>
    </cfRule>
    <cfRule type="cellIs" dxfId="7964" priority="10021" stopIfTrue="1" operator="between">
      <formula>0</formula>
      <formula>0.5</formula>
    </cfRule>
  </conditionalFormatting>
  <conditionalFormatting sqref="M155">
    <cfRule type="cellIs" dxfId="7963" priority="10012" operator="between">
      <formula>0.76</formula>
      <formula>0.95</formula>
    </cfRule>
    <cfRule type="cellIs" dxfId="7962" priority="10013" operator="between">
      <formula>0.51</formula>
      <formula>0.75</formula>
    </cfRule>
    <cfRule type="cellIs" dxfId="7961" priority="10014" operator="greaterThan">
      <formula>1</formula>
    </cfRule>
    <cfRule type="cellIs" dxfId="7960" priority="10015" operator="between">
      <formula>0.95</formula>
      <formula>1</formula>
    </cfRule>
    <cfRule type="cellIs" dxfId="7959" priority="10016" stopIfTrue="1" operator="between">
      <formula>0</formula>
      <formula>0.5</formula>
    </cfRule>
  </conditionalFormatting>
  <conditionalFormatting sqref="M156">
    <cfRule type="cellIs" dxfId="7958" priority="10007" operator="between">
      <formula>0.76</formula>
      <formula>0.95</formula>
    </cfRule>
    <cfRule type="cellIs" dxfId="7957" priority="10008" operator="between">
      <formula>0.51</formula>
      <formula>0.75</formula>
    </cfRule>
    <cfRule type="cellIs" dxfId="7956" priority="10009" operator="greaterThan">
      <formula>1</formula>
    </cfRule>
    <cfRule type="cellIs" dxfId="7955" priority="10010" operator="between">
      <formula>0.95</formula>
      <formula>1</formula>
    </cfRule>
    <cfRule type="cellIs" dxfId="7954" priority="10011" stopIfTrue="1" operator="between">
      <formula>0</formula>
      <formula>0.5</formula>
    </cfRule>
  </conditionalFormatting>
  <conditionalFormatting sqref="M157">
    <cfRule type="cellIs" dxfId="7953" priority="10002" operator="between">
      <formula>0.76</formula>
      <formula>0.95</formula>
    </cfRule>
    <cfRule type="cellIs" dxfId="7952" priority="10003" operator="between">
      <formula>0.51</formula>
      <formula>0.75</formula>
    </cfRule>
    <cfRule type="cellIs" dxfId="7951" priority="10004" operator="greaterThan">
      <formula>1</formula>
    </cfRule>
    <cfRule type="cellIs" dxfId="7950" priority="10005" operator="between">
      <formula>0.95</formula>
      <formula>1</formula>
    </cfRule>
    <cfRule type="cellIs" dxfId="7949" priority="10006" stopIfTrue="1" operator="between">
      <formula>0</formula>
      <formula>0.5</formula>
    </cfRule>
  </conditionalFormatting>
  <conditionalFormatting sqref="M158">
    <cfRule type="cellIs" dxfId="7948" priority="9997" operator="between">
      <formula>0.76</formula>
      <formula>0.95</formula>
    </cfRule>
    <cfRule type="cellIs" dxfId="7947" priority="9998" operator="between">
      <formula>0.51</formula>
      <formula>0.75</formula>
    </cfRule>
    <cfRule type="cellIs" dxfId="7946" priority="9999" operator="greaterThan">
      <formula>1</formula>
    </cfRule>
    <cfRule type="cellIs" dxfId="7945" priority="10000" operator="between">
      <formula>0.95</formula>
      <formula>1</formula>
    </cfRule>
    <cfRule type="cellIs" dxfId="7944" priority="10001" stopIfTrue="1" operator="between">
      <formula>0</formula>
      <formula>0.5</formula>
    </cfRule>
  </conditionalFormatting>
  <conditionalFormatting sqref="M159">
    <cfRule type="cellIs" dxfId="7943" priority="9992" operator="between">
      <formula>0.76</formula>
      <formula>0.95</formula>
    </cfRule>
    <cfRule type="cellIs" dxfId="7942" priority="9993" operator="between">
      <formula>0.51</formula>
      <formula>0.75</formula>
    </cfRule>
    <cfRule type="cellIs" dxfId="7941" priority="9994" operator="greaterThan">
      <formula>1</formula>
    </cfRule>
    <cfRule type="cellIs" dxfId="7940" priority="9995" operator="between">
      <formula>0.95</formula>
      <formula>1</formula>
    </cfRule>
    <cfRule type="cellIs" dxfId="7939" priority="9996" stopIfTrue="1" operator="between">
      <formula>0</formula>
      <formula>0.5</formula>
    </cfRule>
  </conditionalFormatting>
  <conditionalFormatting sqref="M160">
    <cfRule type="cellIs" dxfId="7938" priority="9987" operator="between">
      <formula>0.76</formula>
      <formula>0.95</formula>
    </cfRule>
    <cfRule type="cellIs" dxfId="7937" priority="9988" operator="between">
      <formula>0.51</formula>
      <formula>0.75</formula>
    </cfRule>
    <cfRule type="cellIs" dxfId="7936" priority="9989" operator="greaterThan">
      <formula>1</formula>
    </cfRule>
    <cfRule type="cellIs" dxfId="7935" priority="9990" operator="between">
      <formula>0.95</formula>
      <formula>1</formula>
    </cfRule>
    <cfRule type="cellIs" dxfId="7934" priority="9991" stopIfTrue="1" operator="between">
      <formula>0</formula>
      <formula>0.5</formula>
    </cfRule>
  </conditionalFormatting>
  <conditionalFormatting sqref="M161">
    <cfRule type="cellIs" dxfId="7933" priority="9982" operator="between">
      <formula>0.76</formula>
      <formula>0.95</formula>
    </cfRule>
    <cfRule type="cellIs" dxfId="7932" priority="9983" operator="between">
      <formula>0.51</formula>
      <formula>0.75</formula>
    </cfRule>
    <cfRule type="cellIs" dxfId="7931" priority="9984" operator="greaterThan">
      <formula>1</formula>
    </cfRule>
    <cfRule type="cellIs" dxfId="7930" priority="9985" operator="between">
      <formula>0.95</formula>
      <formula>1</formula>
    </cfRule>
    <cfRule type="cellIs" dxfId="7929" priority="9986" stopIfTrue="1" operator="between">
      <formula>0</formula>
      <formula>0.5</formula>
    </cfRule>
  </conditionalFormatting>
  <conditionalFormatting sqref="M162">
    <cfRule type="cellIs" dxfId="7928" priority="9977" operator="between">
      <formula>0.76</formula>
      <formula>0.95</formula>
    </cfRule>
    <cfRule type="cellIs" dxfId="7927" priority="9978" operator="between">
      <formula>0.51</formula>
      <formula>0.75</formula>
    </cfRule>
    <cfRule type="cellIs" dxfId="7926" priority="9979" operator="greaterThan">
      <formula>1</formula>
    </cfRule>
    <cfRule type="cellIs" dxfId="7925" priority="9980" operator="between">
      <formula>0.95</formula>
      <formula>1</formula>
    </cfRule>
    <cfRule type="cellIs" dxfId="7924" priority="9981" stopIfTrue="1" operator="between">
      <formula>0</formula>
      <formula>0.5</formula>
    </cfRule>
  </conditionalFormatting>
  <conditionalFormatting sqref="M163">
    <cfRule type="cellIs" dxfId="7923" priority="9972" operator="between">
      <formula>0.76</formula>
      <formula>0.95</formula>
    </cfRule>
    <cfRule type="cellIs" dxfId="7922" priority="9973" operator="between">
      <formula>0.51</formula>
      <formula>0.75</formula>
    </cfRule>
    <cfRule type="cellIs" dxfId="7921" priority="9974" operator="greaterThan">
      <formula>1</formula>
    </cfRule>
    <cfRule type="cellIs" dxfId="7920" priority="9975" operator="between">
      <formula>0.95</formula>
      <formula>1</formula>
    </cfRule>
    <cfRule type="cellIs" dxfId="7919" priority="9976" stopIfTrue="1" operator="between">
      <formula>0</formula>
      <formula>0.5</formula>
    </cfRule>
  </conditionalFormatting>
  <conditionalFormatting sqref="M164">
    <cfRule type="cellIs" dxfId="7918" priority="9967" operator="between">
      <formula>0.76</formula>
      <formula>0.95</formula>
    </cfRule>
    <cfRule type="cellIs" dxfId="7917" priority="9968" operator="between">
      <formula>0.51</formula>
      <formula>0.75</formula>
    </cfRule>
    <cfRule type="cellIs" dxfId="7916" priority="9969" operator="greaterThan">
      <formula>1</formula>
    </cfRule>
    <cfRule type="cellIs" dxfId="7915" priority="9970" operator="between">
      <formula>0.95</formula>
      <formula>1</formula>
    </cfRule>
    <cfRule type="cellIs" dxfId="7914" priority="9971" stopIfTrue="1" operator="between">
      <formula>0</formula>
      <formula>0.5</formula>
    </cfRule>
  </conditionalFormatting>
  <conditionalFormatting sqref="M165">
    <cfRule type="cellIs" dxfId="7913" priority="9962" operator="between">
      <formula>0.76</formula>
      <formula>0.95</formula>
    </cfRule>
    <cfRule type="cellIs" dxfId="7912" priority="9963" operator="between">
      <formula>0.51</formula>
      <formula>0.75</formula>
    </cfRule>
    <cfRule type="cellIs" dxfId="7911" priority="9964" operator="greaterThan">
      <formula>1</formula>
    </cfRule>
    <cfRule type="cellIs" dxfId="7910" priority="9965" operator="between">
      <formula>0.95</formula>
      <formula>1</formula>
    </cfRule>
    <cfRule type="cellIs" dxfId="7909" priority="9966" stopIfTrue="1" operator="between">
      <formula>0</formula>
      <formula>0.5</formula>
    </cfRule>
  </conditionalFormatting>
  <conditionalFormatting sqref="M166">
    <cfRule type="cellIs" dxfId="7908" priority="9957" operator="between">
      <formula>0.76</formula>
      <formula>0.95</formula>
    </cfRule>
    <cfRule type="cellIs" dxfId="7907" priority="9958" operator="between">
      <formula>0.51</formula>
      <formula>0.75</formula>
    </cfRule>
    <cfRule type="cellIs" dxfId="7906" priority="9959" operator="greaterThan">
      <formula>1</formula>
    </cfRule>
    <cfRule type="cellIs" dxfId="7905" priority="9960" operator="between">
      <formula>0.95</formula>
      <formula>1</formula>
    </cfRule>
    <cfRule type="cellIs" dxfId="7904" priority="9961" stopIfTrue="1" operator="between">
      <formula>0</formula>
      <formula>0.5</formula>
    </cfRule>
  </conditionalFormatting>
  <conditionalFormatting sqref="M167">
    <cfRule type="cellIs" dxfId="7903" priority="9952" operator="between">
      <formula>0.76</formula>
      <formula>0.95</formula>
    </cfRule>
    <cfRule type="cellIs" dxfId="7902" priority="9953" operator="between">
      <formula>0.51</formula>
      <formula>0.75</formula>
    </cfRule>
    <cfRule type="cellIs" dxfId="7901" priority="9954" operator="greaterThan">
      <formula>1</formula>
    </cfRule>
    <cfRule type="cellIs" dxfId="7900" priority="9955" operator="between">
      <formula>0.95</formula>
      <formula>1</formula>
    </cfRule>
    <cfRule type="cellIs" dxfId="7899" priority="9956" stopIfTrue="1" operator="between">
      <formula>0</formula>
      <formula>0.5</formula>
    </cfRule>
  </conditionalFormatting>
  <conditionalFormatting sqref="M168">
    <cfRule type="cellIs" dxfId="7898" priority="9947" operator="between">
      <formula>0.76</formula>
      <formula>0.95</formula>
    </cfRule>
    <cfRule type="cellIs" dxfId="7897" priority="9948" operator="between">
      <formula>0.51</formula>
      <formula>0.75</formula>
    </cfRule>
    <cfRule type="cellIs" dxfId="7896" priority="9949" operator="greaterThan">
      <formula>1</formula>
    </cfRule>
    <cfRule type="cellIs" dxfId="7895" priority="9950" operator="between">
      <formula>0.95</formula>
      <formula>1</formula>
    </cfRule>
    <cfRule type="cellIs" dxfId="7894" priority="9951" stopIfTrue="1" operator="between">
      <formula>0</formula>
      <formula>0.5</formula>
    </cfRule>
  </conditionalFormatting>
  <conditionalFormatting sqref="M169">
    <cfRule type="cellIs" dxfId="7893" priority="9942" operator="between">
      <formula>0.76</formula>
      <formula>0.95</formula>
    </cfRule>
    <cfRule type="cellIs" dxfId="7892" priority="9943" operator="between">
      <formula>0.51</formula>
      <formula>0.75</formula>
    </cfRule>
    <cfRule type="cellIs" dxfId="7891" priority="9944" operator="greaterThan">
      <formula>1</formula>
    </cfRule>
    <cfRule type="cellIs" dxfId="7890" priority="9945" operator="between">
      <formula>0.95</formula>
      <formula>1</formula>
    </cfRule>
    <cfRule type="cellIs" dxfId="7889" priority="9946" stopIfTrue="1" operator="between">
      <formula>0</formula>
      <formula>0.5</formula>
    </cfRule>
  </conditionalFormatting>
  <conditionalFormatting sqref="M170">
    <cfRule type="cellIs" dxfId="7888" priority="9937" operator="between">
      <formula>0.76</formula>
      <formula>0.95</formula>
    </cfRule>
    <cfRule type="cellIs" dxfId="7887" priority="9938" operator="between">
      <formula>0.51</formula>
      <formula>0.75</formula>
    </cfRule>
    <cfRule type="cellIs" dxfId="7886" priority="9939" operator="greaterThan">
      <formula>1</formula>
    </cfRule>
    <cfRule type="cellIs" dxfId="7885" priority="9940" operator="between">
      <formula>0.95</formula>
      <formula>1</formula>
    </cfRule>
    <cfRule type="cellIs" dxfId="7884" priority="9941" stopIfTrue="1" operator="between">
      <formula>0</formula>
      <formula>0.5</formula>
    </cfRule>
  </conditionalFormatting>
  <conditionalFormatting sqref="M171">
    <cfRule type="cellIs" dxfId="7883" priority="9932" operator="between">
      <formula>0.76</formula>
      <formula>0.95</formula>
    </cfRule>
    <cfRule type="cellIs" dxfId="7882" priority="9933" operator="between">
      <formula>0.51</formula>
      <formula>0.75</formula>
    </cfRule>
    <cfRule type="cellIs" dxfId="7881" priority="9934" operator="greaterThan">
      <formula>1</formula>
    </cfRule>
    <cfRule type="cellIs" dxfId="7880" priority="9935" operator="between">
      <formula>0.95</formula>
      <formula>1</formula>
    </cfRule>
    <cfRule type="cellIs" dxfId="7879" priority="9936" stopIfTrue="1" operator="between">
      <formula>0</formula>
      <formula>0.5</formula>
    </cfRule>
  </conditionalFormatting>
  <conditionalFormatting sqref="M172">
    <cfRule type="cellIs" dxfId="7878" priority="9927" operator="between">
      <formula>0.76</formula>
      <formula>0.95</formula>
    </cfRule>
    <cfRule type="cellIs" dxfId="7877" priority="9928" operator="between">
      <formula>0.51</formula>
      <formula>0.75</formula>
    </cfRule>
    <cfRule type="cellIs" dxfId="7876" priority="9929" operator="greaterThan">
      <formula>1</formula>
    </cfRule>
    <cfRule type="cellIs" dxfId="7875" priority="9930" operator="between">
      <formula>0.95</formula>
      <formula>1</formula>
    </cfRule>
    <cfRule type="cellIs" dxfId="7874" priority="9931" stopIfTrue="1" operator="between">
      <formula>0</formula>
      <formula>0.5</formula>
    </cfRule>
  </conditionalFormatting>
  <conditionalFormatting sqref="M173">
    <cfRule type="cellIs" dxfId="7873" priority="9922" operator="between">
      <formula>0.76</formula>
      <formula>0.95</formula>
    </cfRule>
    <cfRule type="cellIs" dxfId="7872" priority="9923" operator="between">
      <formula>0.51</formula>
      <formula>0.75</formula>
    </cfRule>
    <cfRule type="cellIs" dxfId="7871" priority="9924" operator="greaterThan">
      <formula>1</formula>
    </cfRule>
    <cfRule type="cellIs" dxfId="7870" priority="9925" operator="between">
      <formula>0.95</formula>
      <formula>1</formula>
    </cfRule>
    <cfRule type="cellIs" dxfId="7869" priority="9926" stopIfTrue="1" operator="between">
      <formula>0</formula>
      <formula>0.5</formula>
    </cfRule>
  </conditionalFormatting>
  <conditionalFormatting sqref="M174">
    <cfRule type="cellIs" dxfId="7868" priority="9917" operator="between">
      <formula>0.76</formula>
      <formula>0.95</formula>
    </cfRule>
    <cfRule type="cellIs" dxfId="7867" priority="9918" operator="between">
      <formula>0.51</formula>
      <formula>0.75</formula>
    </cfRule>
    <cfRule type="cellIs" dxfId="7866" priority="9919" operator="greaterThan">
      <formula>1</formula>
    </cfRule>
    <cfRule type="cellIs" dxfId="7865" priority="9920" operator="between">
      <formula>0.95</formula>
      <formula>1</formula>
    </cfRule>
    <cfRule type="cellIs" dxfId="7864" priority="9921" stopIfTrue="1" operator="between">
      <formula>0</formula>
      <formula>0.5</formula>
    </cfRule>
  </conditionalFormatting>
  <conditionalFormatting sqref="M176">
    <cfRule type="cellIs" dxfId="7863" priority="9912" operator="between">
      <formula>0.76</formula>
      <formula>0.95</formula>
    </cfRule>
    <cfRule type="cellIs" dxfId="7862" priority="9913" operator="between">
      <formula>0.51</formula>
      <formula>0.75</formula>
    </cfRule>
    <cfRule type="cellIs" dxfId="7861" priority="9914" operator="greaterThan">
      <formula>1</formula>
    </cfRule>
    <cfRule type="cellIs" dxfId="7860" priority="9915" operator="between">
      <formula>0.95</formula>
      <formula>1</formula>
    </cfRule>
    <cfRule type="cellIs" dxfId="7859" priority="9916" stopIfTrue="1" operator="between">
      <formula>0</formula>
      <formula>0.5</formula>
    </cfRule>
  </conditionalFormatting>
  <conditionalFormatting sqref="M175">
    <cfRule type="cellIs" dxfId="7858" priority="9907" operator="between">
      <formula>0.76</formula>
      <formula>0.95</formula>
    </cfRule>
    <cfRule type="cellIs" dxfId="7857" priority="9908" operator="between">
      <formula>0.51</formula>
      <formula>0.75</formula>
    </cfRule>
    <cfRule type="cellIs" dxfId="7856" priority="9909" operator="greaterThan">
      <formula>1</formula>
    </cfRule>
    <cfRule type="cellIs" dxfId="7855" priority="9910" operator="between">
      <formula>0.95</formula>
      <formula>1</formula>
    </cfRule>
    <cfRule type="cellIs" dxfId="7854" priority="9911" stopIfTrue="1" operator="between">
      <formula>0</formula>
      <formula>0.5</formula>
    </cfRule>
  </conditionalFormatting>
  <conditionalFormatting sqref="M177">
    <cfRule type="cellIs" dxfId="7853" priority="9902" operator="between">
      <formula>0.76</formula>
      <formula>0.95</formula>
    </cfRule>
    <cfRule type="cellIs" dxfId="7852" priority="9903" operator="between">
      <formula>0.51</formula>
      <formula>0.75</formula>
    </cfRule>
    <cfRule type="cellIs" dxfId="7851" priority="9904" operator="greaterThan">
      <formula>1</formula>
    </cfRule>
    <cfRule type="cellIs" dxfId="7850" priority="9905" operator="between">
      <formula>0.95</formula>
      <formula>1</formula>
    </cfRule>
    <cfRule type="cellIs" dxfId="7849" priority="9906" stopIfTrue="1" operator="between">
      <formula>0</formula>
      <formula>0.5</formula>
    </cfRule>
  </conditionalFormatting>
  <conditionalFormatting sqref="M178">
    <cfRule type="cellIs" dxfId="7848" priority="9897" operator="between">
      <formula>0.76</formula>
      <formula>0.95</formula>
    </cfRule>
    <cfRule type="cellIs" dxfId="7847" priority="9898" operator="between">
      <formula>0.51</formula>
      <formula>0.75</formula>
    </cfRule>
    <cfRule type="cellIs" dxfId="7846" priority="9899" operator="greaterThan">
      <formula>1</formula>
    </cfRule>
    <cfRule type="cellIs" dxfId="7845" priority="9900" operator="between">
      <formula>0.95</formula>
      <formula>1</formula>
    </cfRule>
    <cfRule type="cellIs" dxfId="7844" priority="9901" stopIfTrue="1" operator="between">
      <formula>0</formula>
      <formula>0.5</formula>
    </cfRule>
  </conditionalFormatting>
  <conditionalFormatting sqref="M180">
    <cfRule type="cellIs" dxfId="7843" priority="9892" operator="between">
      <formula>0.76</formula>
      <formula>0.95</formula>
    </cfRule>
    <cfRule type="cellIs" dxfId="7842" priority="9893" operator="between">
      <formula>0.51</formula>
      <formula>0.75</formula>
    </cfRule>
    <cfRule type="cellIs" dxfId="7841" priority="9894" operator="greaterThan">
      <formula>1</formula>
    </cfRule>
    <cfRule type="cellIs" dxfId="7840" priority="9895" operator="between">
      <formula>0.95</formula>
      <formula>1</formula>
    </cfRule>
    <cfRule type="cellIs" dxfId="7839" priority="9896" stopIfTrue="1" operator="between">
      <formula>0</formula>
      <formula>0.5</formula>
    </cfRule>
  </conditionalFormatting>
  <conditionalFormatting sqref="M179">
    <cfRule type="cellIs" dxfId="7838" priority="9887" operator="between">
      <formula>0.76</formula>
      <formula>0.95</formula>
    </cfRule>
    <cfRule type="cellIs" dxfId="7837" priority="9888" operator="between">
      <formula>0.51</formula>
      <formula>0.75</formula>
    </cfRule>
    <cfRule type="cellIs" dxfId="7836" priority="9889" operator="greaterThan">
      <formula>1</formula>
    </cfRule>
    <cfRule type="cellIs" dxfId="7835" priority="9890" operator="between">
      <formula>0.95</formula>
      <formula>1</formula>
    </cfRule>
    <cfRule type="cellIs" dxfId="7834" priority="9891" stopIfTrue="1" operator="between">
      <formula>0</formula>
      <formula>0.5</formula>
    </cfRule>
  </conditionalFormatting>
  <conditionalFormatting sqref="M181">
    <cfRule type="cellIs" dxfId="7833" priority="9882" operator="between">
      <formula>0.76</formula>
      <formula>0.95</formula>
    </cfRule>
    <cfRule type="cellIs" dxfId="7832" priority="9883" operator="between">
      <formula>0.51</formula>
      <formula>0.75</formula>
    </cfRule>
    <cfRule type="cellIs" dxfId="7831" priority="9884" operator="greaterThan">
      <formula>1</formula>
    </cfRule>
    <cfRule type="cellIs" dxfId="7830" priority="9885" operator="between">
      <formula>0.95</formula>
      <formula>1</formula>
    </cfRule>
    <cfRule type="cellIs" dxfId="7829" priority="9886" stopIfTrue="1" operator="between">
      <formula>0</formula>
      <formula>0.5</formula>
    </cfRule>
  </conditionalFormatting>
  <conditionalFormatting sqref="M182">
    <cfRule type="cellIs" dxfId="7828" priority="9877" operator="between">
      <formula>0.76</formula>
      <formula>0.95</formula>
    </cfRule>
    <cfRule type="cellIs" dxfId="7827" priority="9878" operator="between">
      <formula>0.51</formula>
      <formula>0.75</formula>
    </cfRule>
    <cfRule type="cellIs" dxfId="7826" priority="9879" operator="greaterThan">
      <formula>1</formula>
    </cfRule>
    <cfRule type="cellIs" dxfId="7825" priority="9880" operator="between">
      <formula>0.95</formula>
      <formula>1</formula>
    </cfRule>
    <cfRule type="cellIs" dxfId="7824" priority="9881" stopIfTrue="1" operator="between">
      <formula>0</formula>
      <formula>0.5</formula>
    </cfRule>
  </conditionalFormatting>
  <conditionalFormatting sqref="M183">
    <cfRule type="cellIs" dxfId="7823" priority="9872" operator="between">
      <formula>0.76</formula>
      <formula>0.95</formula>
    </cfRule>
    <cfRule type="cellIs" dxfId="7822" priority="9873" operator="between">
      <formula>0.51</formula>
      <formula>0.75</formula>
    </cfRule>
    <cfRule type="cellIs" dxfId="7821" priority="9874" operator="greaterThan">
      <formula>1</formula>
    </cfRule>
    <cfRule type="cellIs" dxfId="7820" priority="9875" operator="between">
      <formula>0.95</formula>
      <formula>1</formula>
    </cfRule>
    <cfRule type="cellIs" dxfId="7819" priority="9876" stopIfTrue="1" operator="between">
      <formula>0</formula>
      <formula>0.5</formula>
    </cfRule>
  </conditionalFormatting>
  <conditionalFormatting sqref="M184">
    <cfRule type="cellIs" dxfId="7818" priority="9867" operator="between">
      <formula>0.76</formula>
      <formula>0.95</formula>
    </cfRule>
    <cfRule type="cellIs" dxfId="7817" priority="9868" operator="between">
      <formula>0.51</formula>
      <formula>0.75</formula>
    </cfRule>
    <cfRule type="cellIs" dxfId="7816" priority="9869" operator="greaterThan">
      <formula>1</formula>
    </cfRule>
    <cfRule type="cellIs" dxfId="7815" priority="9870" operator="between">
      <formula>0.95</formula>
      <formula>1</formula>
    </cfRule>
    <cfRule type="cellIs" dxfId="7814" priority="9871" stopIfTrue="1" operator="between">
      <formula>0</formula>
      <formula>0.5</formula>
    </cfRule>
  </conditionalFormatting>
  <conditionalFormatting sqref="M185">
    <cfRule type="cellIs" dxfId="7813" priority="9862" operator="between">
      <formula>0.76</formula>
      <formula>0.95</formula>
    </cfRule>
    <cfRule type="cellIs" dxfId="7812" priority="9863" operator="between">
      <formula>0.51</formula>
      <formula>0.75</formula>
    </cfRule>
    <cfRule type="cellIs" dxfId="7811" priority="9864" operator="greaterThan">
      <formula>1</formula>
    </cfRule>
    <cfRule type="cellIs" dxfId="7810" priority="9865" operator="between">
      <formula>0.95</formula>
      <formula>1</formula>
    </cfRule>
    <cfRule type="cellIs" dxfId="7809" priority="9866" stopIfTrue="1" operator="between">
      <formula>0</formula>
      <formula>0.5</formula>
    </cfRule>
  </conditionalFormatting>
  <conditionalFormatting sqref="M186">
    <cfRule type="cellIs" dxfId="7808" priority="9857" operator="between">
      <formula>0.76</formula>
      <formula>0.95</formula>
    </cfRule>
    <cfRule type="cellIs" dxfId="7807" priority="9858" operator="between">
      <formula>0.51</formula>
      <formula>0.75</formula>
    </cfRule>
    <cfRule type="cellIs" dxfId="7806" priority="9859" operator="greaterThan">
      <formula>1</formula>
    </cfRule>
    <cfRule type="cellIs" dxfId="7805" priority="9860" operator="between">
      <formula>0.95</formula>
      <formula>1</formula>
    </cfRule>
    <cfRule type="cellIs" dxfId="7804" priority="9861" stopIfTrue="1" operator="between">
      <formula>0</formula>
      <formula>0.5</formula>
    </cfRule>
  </conditionalFormatting>
  <conditionalFormatting sqref="M187">
    <cfRule type="cellIs" dxfId="7803" priority="9852" operator="between">
      <formula>0.76</formula>
      <formula>0.95</formula>
    </cfRule>
    <cfRule type="cellIs" dxfId="7802" priority="9853" operator="between">
      <formula>0.51</formula>
      <formula>0.75</formula>
    </cfRule>
    <cfRule type="cellIs" dxfId="7801" priority="9854" operator="greaterThan">
      <formula>1</formula>
    </cfRule>
    <cfRule type="cellIs" dxfId="7800" priority="9855" operator="between">
      <formula>0.95</formula>
      <formula>1</formula>
    </cfRule>
    <cfRule type="cellIs" dxfId="7799" priority="9856" stopIfTrue="1" operator="between">
      <formula>0</formula>
      <formula>0.5</formula>
    </cfRule>
  </conditionalFormatting>
  <conditionalFormatting sqref="M188">
    <cfRule type="cellIs" dxfId="7798" priority="9847" operator="between">
      <formula>0.76</formula>
      <formula>0.95</formula>
    </cfRule>
    <cfRule type="cellIs" dxfId="7797" priority="9848" operator="between">
      <formula>0.51</formula>
      <formula>0.75</formula>
    </cfRule>
    <cfRule type="cellIs" dxfId="7796" priority="9849" operator="greaterThan">
      <formula>1</formula>
    </cfRule>
    <cfRule type="cellIs" dxfId="7795" priority="9850" operator="between">
      <formula>0.95</formula>
      <formula>1</formula>
    </cfRule>
    <cfRule type="cellIs" dxfId="7794" priority="9851" stopIfTrue="1" operator="between">
      <formula>0</formula>
      <formula>0.5</formula>
    </cfRule>
  </conditionalFormatting>
  <conditionalFormatting sqref="M189">
    <cfRule type="cellIs" dxfId="7793" priority="9842" operator="between">
      <formula>0.76</formula>
      <formula>0.95</formula>
    </cfRule>
    <cfRule type="cellIs" dxfId="7792" priority="9843" operator="between">
      <formula>0.51</formula>
      <formula>0.75</formula>
    </cfRule>
    <cfRule type="cellIs" dxfId="7791" priority="9844" operator="greaterThan">
      <formula>1</formula>
    </cfRule>
    <cfRule type="cellIs" dxfId="7790" priority="9845" operator="between">
      <formula>0.95</formula>
      <formula>1</formula>
    </cfRule>
    <cfRule type="cellIs" dxfId="7789" priority="9846" stopIfTrue="1" operator="between">
      <formula>0</formula>
      <formula>0.5</formula>
    </cfRule>
  </conditionalFormatting>
  <conditionalFormatting sqref="M190">
    <cfRule type="cellIs" dxfId="7788" priority="9837" operator="between">
      <formula>0.76</formula>
      <formula>0.95</formula>
    </cfRule>
    <cfRule type="cellIs" dxfId="7787" priority="9838" operator="between">
      <formula>0.51</formula>
      <formula>0.75</formula>
    </cfRule>
    <cfRule type="cellIs" dxfId="7786" priority="9839" operator="greaterThan">
      <formula>1</formula>
    </cfRule>
    <cfRule type="cellIs" dxfId="7785" priority="9840" operator="between">
      <formula>0.95</formula>
      <formula>1</formula>
    </cfRule>
    <cfRule type="cellIs" dxfId="7784" priority="9841" stopIfTrue="1" operator="between">
      <formula>0</formula>
      <formula>0.5</formula>
    </cfRule>
  </conditionalFormatting>
  <conditionalFormatting sqref="M191">
    <cfRule type="cellIs" dxfId="7783" priority="9832" operator="between">
      <formula>0.76</formula>
      <formula>0.95</formula>
    </cfRule>
    <cfRule type="cellIs" dxfId="7782" priority="9833" operator="between">
      <formula>0.51</formula>
      <formula>0.75</formula>
    </cfRule>
    <cfRule type="cellIs" dxfId="7781" priority="9834" operator="greaterThan">
      <formula>1</formula>
    </cfRule>
    <cfRule type="cellIs" dxfId="7780" priority="9835" operator="between">
      <formula>0.95</formula>
      <formula>1</formula>
    </cfRule>
    <cfRule type="cellIs" dxfId="7779" priority="9836" stopIfTrue="1" operator="between">
      <formula>0</formula>
      <formula>0.5</formula>
    </cfRule>
  </conditionalFormatting>
  <conditionalFormatting sqref="M192">
    <cfRule type="cellIs" dxfId="7778" priority="9827" operator="between">
      <formula>0.76</formula>
      <formula>0.95</formula>
    </cfRule>
    <cfRule type="cellIs" dxfId="7777" priority="9828" operator="between">
      <formula>0.51</formula>
      <formula>0.75</formula>
    </cfRule>
    <cfRule type="cellIs" dxfId="7776" priority="9829" operator="greaterThan">
      <formula>1</formula>
    </cfRule>
    <cfRule type="cellIs" dxfId="7775" priority="9830" operator="between">
      <formula>0.95</formula>
      <formula>1</formula>
    </cfRule>
    <cfRule type="cellIs" dxfId="7774" priority="9831" stopIfTrue="1" operator="between">
      <formula>0</formula>
      <formula>0.5</formula>
    </cfRule>
  </conditionalFormatting>
  <conditionalFormatting sqref="M193">
    <cfRule type="cellIs" dxfId="7773" priority="9822" operator="between">
      <formula>0.76</formula>
      <formula>0.95</formula>
    </cfRule>
    <cfRule type="cellIs" dxfId="7772" priority="9823" operator="between">
      <formula>0.51</formula>
      <formula>0.75</formula>
    </cfRule>
    <cfRule type="cellIs" dxfId="7771" priority="9824" operator="greaterThan">
      <formula>1</formula>
    </cfRule>
    <cfRule type="cellIs" dxfId="7770" priority="9825" operator="between">
      <formula>0.95</formula>
      <formula>1</formula>
    </cfRule>
    <cfRule type="cellIs" dxfId="7769" priority="9826" stopIfTrue="1" operator="between">
      <formula>0</formula>
      <formula>0.5</formula>
    </cfRule>
  </conditionalFormatting>
  <conditionalFormatting sqref="M194">
    <cfRule type="cellIs" dxfId="7768" priority="9812" operator="between">
      <formula>0.76</formula>
      <formula>0.95</formula>
    </cfRule>
    <cfRule type="cellIs" dxfId="7767" priority="9813" operator="between">
      <formula>0.51</formula>
      <formula>0.75</formula>
    </cfRule>
    <cfRule type="cellIs" dxfId="7766" priority="9814" operator="greaterThan">
      <formula>1</formula>
    </cfRule>
    <cfRule type="cellIs" dxfId="7765" priority="9815" operator="between">
      <formula>0.95</formula>
      <formula>1</formula>
    </cfRule>
    <cfRule type="cellIs" dxfId="7764" priority="9816" stopIfTrue="1" operator="between">
      <formula>0</formula>
      <formula>0.5</formula>
    </cfRule>
  </conditionalFormatting>
  <conditionalFormatting sqref="M195">
    <cfRule type="cellIs" dxfId="7763" priority="9807" operator="between">
      <formula>0.76</formula>
      <formula>0.95</formula>
    </cfRule>
    <cfRule type="cellIs" dxfId="7762" priority="9808" operator="between">
      <formula>0.51</formula>
      <formula>0.75</formula>
    </cfRule>
    <cfRule type="cellIs" dxfId="7761" priority="9809" operator="greaterThan">
      <formula>1</formula>
    </cfRule>
    <cfRule type="cellIs" dxfId="7760" priority="9810" operator="between">
      <formula>0.95</formula>
      <formula>1</formula>
    </cfRule>
    <cfRule type="cellIs" dxfId="7759" priority="9811" stopIfTrue="1" operator="between">
      <formula>0</formula>
      <formula>0.5</formula>
    </cfRule>
  </conditionalFormatting>
  <conditionalFormatting sqref="M197">
    <cfRule type="cellIs" dxfId="7758" priority="9802" operator="between">
      <formula>0.76</formula>
      <formula>0.95</formula>
    </cfRule>
    <cfRule type="cellIs" dxfId="7757" priority="9803" operator="between">
      <formula>0.51</formula>
      <formula>0.75</formula>
    </cfRule>
    <cfRule type="cellIs" dxfId="7756" priority="9804" operator="greaterThan">
      <formula>1</formula>
    </cfRule>
    <cfRule type="cellIs" dxfId="7755" priority="9805" operator="between">
      <formula>0.95</formula>
      <formula>1</formula>
    </cfRule>
    <cfRule type="cellIs" dxfId="7754" priority="9806" stopIfTrue="1" operator="between">
      <formula>0</formula>
      <formula>0.5</formula>
    </cfRule>
  </conditionalFormatting>
  <conditionalFormatting sqref="M196">
    <cfRule type="cellIs" dxfId="7753" priority="9797" operator="between">
      <formula>0.76</formula>
      <formula>0.95</formula>
    </cfRule>
    <cfRule type="cellIs" dxfId="7752" priority="9798" operator="between">
      <formula>0.51</formula>
      <formula>0.75</formula>
    </cfRule>
    <cfRule type="cellIs" dxfId="7751" priority="9799" operator="greaterThan">
      <formula>1</formula>
    </cfRule>
    <cfRule type="cellIs" dxfId="7750" priority="9800" operator="between">
      <formula>0.95</formula>
      <formula>1</formula>
    </cfRule>
    <cfRule type="cellIs" dxfId="7749" priority="9801" stopIfTrue="1" operator="between">
      <formula>0</formula>
      <formula>0.5</formula>
    </cfRule>
  </conditionalFormatting>
  <conditionalFormatting sqref="M198">
    <cfRule type="cellIs" dxfId="7748" priority="9792" operator="between">
      <formula>0.76</formula>
      <formula>0.95</formula>
    </cfRule>
    <cfRule type="cellIs" dxfId="7747" priority="9793" operator="between">
      <formula>0.51</formula>
      <formula>0.75</formula>
    </cfRule>
    <cfRule type="cellIs" dxfId="7746" priority="9794" operator="greaterThan">
      <formula>1</formula>
    </cfRule>
    <cfRule type="cellIs" dxfId="7745" priority="9795" operator="between">
      <formula>0.95</formula>
      <formula>1</formula>
    </cfRule>
    <cfRule type="cellIs" dxfId="7744" priority="9796" stopIfTrue="1" operator="between">
      <formula>0</formula>
      <formula>0.5</formula>
    </cfRule>
  </conditionalFormatting>
  <conditionalFormatting sqref="M199">
    <cfRule type="cellIs" dxfId="7743" priority="9787" operator="between">
      <formula>0.76</formula>
      <formula>0.95</formula>
    </cfRule>
    <cfRule type="cellIs" dxfId="7742" priority="9788" operator="between">
      <formula>0.51</formula>
      <formula>0.75</formula>
    </cfRule>
    <cfRule type="cellIs" dxfId="7741" priority="9789" operator="greaterThan">
      <formula>1</formula>
    </cfRule>
    <cfRule type="cellIs" dxfId="7740" priority="9790" operator="between">
      <formula>0.95</formula>
      <formula>1</formula>
    </cfRule>
    <cfRule type="cellIs" dxfId="7739" priority="9791" stopIfTrue="1" operator="between">
      <formula>0</formula>
      <formula>0.5</formula>
    </cfRule>
  </conditionalFormatting>
  <conditionalFormatting sqref="M200">
    <cfRule type="cellIs" dxfId="7738" priority="9782" operator="between">
      <formula>0.76</formula>
      <formula>0.95</formula>
    </cfRule>
    <cfRule type="cellIs" dxfId="7737" priority="9783" operator="between">
      <formula>0.51</formula>
      <formula>0.75</formula>
    </cfRule>
    <cfRule type="cellIs" dxfId="7736" priority="9784" operator="greaterThan">
      <formula>1</formula>
    </cfRule>
    <cfRule type="cellIs" dxfId="7735" priority="9785" operator="between">
      <formula>0.95</formula>
      <formula>1</formula>
    </cfRule>
    <cfRule type="cellIs" dxfId="7734" priority="9786" stopIfTrue="1" operator="between">
      <formula>0</formula>
      <formula>0.5</formula>
    </cfRule>
  </conditionalFormatting>
  <conditionalFormatting sqref="M201">
    <cfRule type="cellIs" dxfId="7733" priority="9777" operator="between">
      <formula>0.76</formula>
      <formula>0.95</formula>
    </cfRule>
    <cfRule type="cellIs" dxfId="7732" priority="9778" operator="between">
      <formula>0.51</formula>
      <formula>0.75</formula>
    </cfRule>
    <cfRule type="cellIs" dxfId="7731" priority="9779" operator="greaterThan">
      <formula>1</formula>
    </cfRule>
    <cfRule type="cellIs" dxfId="7730" priority="9780" operator="between">
      <formula>0.95</formula>
      <formula>1</formula>
    </cfRule>
    <cfRule type="cellIs" dxfId="7729" priority="9781" stopIfTrue="1" operator="between">
      <formula>0</formula>
      <formula>0.5</formula>
    </cfRule>
  </conditionalFormatting>
  <conditionalFormatting sqref="M202">
    <cfRule type="cellIs" dxfId="7728" priority="9772" operator="between">
      <formula>0.76</formula>
      <formula>0.95</formula>
    </cfRule>
    <cfRule type="cellIs" dxfId="7727" priority="9773" operator="between">
      <formula>0.51</formula>
      <formula>0.75</formula>
    </cfRule>
    <cfRule type="cellIs" dxfId="7726" priority="9774" operator="greaterThan">
      <formula>1</formula>
    </cfRule>
    <cfRule type="cellIs" dxfId="7725" priority="9775" operator="between">
      <formula>0.95</formula>
      <formula>1</formula>
    </cfRule>
    <cfRule type="cellIs" dxfId="7724" priority="9776" stopIfTrue="1" operator="between">
      <formula>0</formula>
      <formula>0.5</formula>
    </cfRule>
  </conditionalFormatting>
  <conditionalFormatting sqref="M203">
    <cfRule type="cellIs" dxfId="7723" priority="9767" operator="between">
      <formula>0.76</formula>
      <formula>0.95</formula>
    </cfRule>
    <cfRule type="cellIs" dxfId="7722" priority="9768" operator="between">
      <formula>0.51</formula>
      <formula>0.75</formula>
    </cfRule>
    <cfRule type="cellIs" dxfId="7721" priority="9769" operator="greaterThan">
      <formula>1</formula>
    </cfRule>
    <cfRule type="cellIs" dxfId="7720" priority="9770" operator="between">
      <formula>0.95</formula>
      <formula>1</formula>
    </cfRule>
    <cfRule type="cellIs" dxfId="7719" priority="9771" stopIfTrue="1" operator="between">
      <formula>0</formula>
      <formula>0.5</formula>
    </cfRule>
  </conditionalFormatting>
  <conditionalFormatting sqref="M204">
    <cfRule type="cellIs" dxfId="7718" priority="9762" operator="between">
      <formula>0.76</formula>
      <formula>0.95</formula>
    </cfRule>
    <cfRule type="cellIs" dxfId="7717" priority="9763" operator="between">
      <formula>0.51</formula>
      <formula>0.75</formula>
    </cfRule>
    <cfRule type="cellIs" dxfId="7716" priority="9764" operator="greaterThan">
      <formula>1</formula>
    </cfRule>
    <cfRule type="cellIs" dxfId="7715" priority="9765" operator="between">
      <formula>0.95</formula>
      <formula>1</formula>
    </cfRule>
    <cfRule type="cellIs" dxfId="7714" priority="9766" stopIfTrue="1" operator="between">
      <formula>0</formula>
      <formula>0.5</formula>
    </cfRule>
  </conditionalFormatting>
  <conditionalFormatting sqref="M205">
    <cfRule type="cellIs" dxfId="7713" priority="9757" operator="between">
      <formula>0.76</formula>
      <formula>0.95</formula>
    </cfRule>
    <cfRule type="cellIs" dxfId="7712" priority="9758" operator="between">
      <formula>0.51</formula>
      <formula>0.75</formula>
    </cfRule>
    <cfRule type="cellIs" dxfId="7711" priority="9759" operator="greaterThan">
      <formula>1</formula>
    </cfRule>
    <cfRule type="cellIs" dxfId="7710" priority="9760" operator="between">
      <formula>0.95</formula>
      <formula>1</formula>
    </cfRule>
    <cfRule type="cellIs" dxfId="7709" priority="9761" stopIfTrue="1" operator="between">
      <formula>0</formula>
      <formula>0.5</formula>
    </cfRule>
  </conditionalFormatting>
  <conditionalFormatting sqref="M207">
    <cfRule type="cellIs" dxfId="7708" priority="9752" operator="between">
      <formula>0.76</formula>
      <formula>0.95</formula>
    </cfRule>
    <cfRule type="cellIs" dxfId="7707" priority="9753" operator="between">
      <formula>0.51</formula>
      <formula>0.75</formula>
    </cfRule>
    <cfRule type="cellIs" dxfId="7706" priority="9754" operator="greaterThan">
      <formula>1</formula>
    </cfRule>
    <cfRule type="cellIs" dxfId="7705" priority="9755" operator="between">
      <formula>0.95</formula>
      <formula>1</formula>
    </cfRule>
    <cfRule type="cellIs" dxfId="7704" priority="9756" stopIfTrue="1" operator="between">
      <formula>0</formula>
      <formula>0.5</formula>
    </cfRule>
  </conditionalFormatting>
  <conditionalFormatting sqref="M208">
    <cfRule type="cellIs" dxfId="7703" priority="9747" operator="between">
      <formula>0.76</formula>
      <formula>0.95</formula>
    </cfRule>
    <cfRule type="cellIs" dxfId="7702" priority="9748" operator="between">
      <formula>0.51</formula>
      <formula>0.75</formula>
    </cfRule>
    <cfRule type="cellIs" dxfId="7701" priority="9749" operator="greaterThan">
      <formula>1</formula>
    </cfRule>
    <cfRule type="cellIs" dxfId="7700" priority="9750" operator="between">
      <formula>0.95</formula>
      <formula>1</formula>
    </cfRule>
    <cfRule type="cellIs" dxfId="7699" priority="9751" stopIfTrue="1" operator="between">
      <formula>0</formula>
      <formula>0.5</formula>
    </cfRule>
  </conditionalFormatting>
  <conditionalFormatting sqref="M209">
    <cfRule type="cellIs" dxfId="7698" priority="9742" operator="between">
      <formula>0.76</formula>
      <formula>0.95</formula>
    </cfRule>
    <cfRule type="cellIs" dxfId="7697" priority="9743" operator="between">
      <formula>0.51</formula>
      <formula>0.75</formula>
    </cfRule>
    <cfRule type="cellIs" dxfId="7696" priority="9744" operator="greaterThan">
      <formula>1</formula>
    </cfRule>
    <cfRule type="cellIs" dxfId="7695" priority="9745" operator="between">
      <formula>0.95</formula>
      <formula>1</formula>
    </cfRule>
    <cfRule type="cellIs" dxfId="7694" priority="9746" stopIfTrue="1" operator="between">
      <formula>0</formula>
      <formula>0.5</formula>
    </cfRule>
  </conditionalFormatting>
  <conditionalFormatting sqref="M210">
    <cfRule type="cellIs" dxfId="7693" priority="9737" operator="between">
      <formula>0.76</formula>
      <formula>0.95</formula>
    </cfRule>
    <cfRule type="cellIs" dxfId="7692" priority="9738" operator="between">
      <formula>0.51</formula>
      <formula>0.75</formula>
    </cfRule>
    <cfRule type="cellIs" dxfId="7691" priority="9739" operator="greaterThan">
      <formula>1</formula>
    </cfRule>
    <cfRule type="cellIs" dxfId="7690" priority="9740" operator="between">
      <formula>0.95</formula>
      <formula>1</formula>
    </cfRule>
    <cfRule type="cellIs" dxfId="7689" priority="9741" stopIfTrue="1" operator="between">
      <formula>0</formula>
      <formula>0.5</formula>
    </cfRule>
  </conditionalFormatting>
  <conditionalFormatting sqref="M211">
    <cfRule type="cellIs" dxfId="7688" priority="9732" operator="between">
      <formula>0.76</formula>
      <formula>0.95</formula>
    </cfRule>
    <cfRule type="cellIs" dxfId="7687" priority="9733" operator="between">
      <formula>0.51</formula>
      <formula>0.75</formula>
    </cfRule>
    <cfRule type="cellIs" dxfId="7686" priority="9734" operator="greaterThan">
      <formula>1</formula>
    </cfRule>
    <cfRule type="cellIs" dxfId="7685" priority="9735" operator="between">
      <formula>0.95</formula>
      <formula>1</formula>
    </cfRule>
    <cfRule type="cellIs" dxfId="7684" priority="9736" stopIfTrue="1" operator="between">
      <formula>0</formula>
      <formula>0.5</formula>
    </cfRule>
  </conditionalFormatting>
  <conditionalFormatting sqref="M212">
    <cfRule type="cellIs" dxfId="7683" priority="9727" operator="between">
      <formula>0.76</formula>
      <formula>0.95</formula>
    </cfRule>
    <cfRule type="cellIs" dxfId="7682" priority="9728" operator="between">
      <formula>0.51</formula>
      <formula>0.75</formula>
    </cfRule>
    <cfRule type="cellIs" dxfId="7681" priority="9729" operator="greaterThan">
      <formula>1</formula>
    </cfRule>
    <cfRule type="cellIs" dxfId="7680" priority="9730" operator="between">
      <formula>0.95</formula>
      <formula>1</formula>
    </cfRule>
    <cfRule type="cellIs" dxfId="7679" priority="9731" stopIfTrue="1" operator="between">
      <formula>0</formula>
      <formula>0.5</formula>
    </cfRule>
  </conditionalFormatting>
  <conditionalFormatting sqref="M213">
    <cfRule type="cellIs" dxfId="7678" priority="9722" operator="between">
      <formula>0.76</formula>
      <formula>0.95</formula>
    </cfRule>
    <cfRule type="cellIs" dxfId="7677" priority="9723" operator="between">
      <formula>0.51</formula>
      <formula>0.75</formula>
    </cfRule>
    <cfRule type="cellIs" dxfId="7676" priority="9724" operator="greaterThan">
      <formula>1</formula>
    </cfRule>
    <cfRule type="cellIs" dxfId="7675" priority="9725" operator="between">
      <formula>0.95</formula>
      <formula>1</formula>
    </cfRule>
    <cfRule type="cellIs" dxfId="7674" priority="9726" stopIfTrue="1" operator="between">
      <formula>0</formula>
      <formula>0.5</formula>
    </cfRule>
  </conditionalFormatting>
  <conditionalFormatting sqref="M214">
    <cfRule type="cellIs" dxfId="7673" priority="9717" operator="between">
      <formula>0.76</formula>
      <formula>0.95</formula>
    </cfRule>
    <cfRule type="cellIs" dxfId="7672" priority="9718" operator="between">
      <formula>0.51</formula>
      <formula>0.75</formula>
    </cfRule>
    <cfRule type="cellIs" dxfId="7671" priority="9719" operator="greaterThan">
      <formula>1</formula>
    </cfRule>
    <cfRule type="cellIs" dxfId="7670" priority="9720" operator="between">
      <formula>0.95</formula>
      <formula>1</formula>
    </cfRule>
    <cfRule type="cellIs" dxfId="7669" priority="9721" stopIfTrue="1" operator="between">
      <formula>0</formula>
      <formula>0.5</formula>
    </cfRule>
  </conditionalFormatting>
  <conditionalFormatting sqref="M215">
    <cfRule type="cellIs" dxfId="7668" priority="9712" operator="between">
      <formula>0.76</formula>
      <formula>0.95</formula>
    </cfRule>
    <cfRule type="cellIs" dxfId="7667" priority="9713" operator="between">
      <formula>0.51</formula>
      <formula>0.75</formula>
    </cfRule>
    <cfRule type="cellIs" dxfId="7666" priority="9714" operator="greaterThan">
      <formula>1</formula>
    </cfRule>
    <cfRule type="cellIs" dxfId="7665" priority="9715" operator="between">
      <formula>0.95</formula>
      <formula>1</formula>
    </cfRule>
    <cfRule type="cellIs" dxfId="7664" priority="9716" stopIfTrue="1" operator="between">
      <formula>0</formula>
      <formula>0.5</formula>
    </cfRule>
  </conditionalFormatting>
  <conditionalFormatting sqref="M216">
    <cfRule type="cellIs" dxfId="7663" priority="9707" operator="between">
      <formula>0.76</formula>
      <formula>0.95</formula>
    </cfRule>
    <cfRule type="cellIs" dxfId="7662" priority="9708" operator="between">
      <formula>0.51</formula>
      <formula>0.75</formula>
    </cfRule>
    <cfRule type="cellIs" dxfId="7661" priority="9709" operator="greaterThan">
      <formula>1</formula>
    </cfRule>
    <cfRule type="cellIs" dxfId="7660" priority="9710" operator="between">
      <formula>0.95</formula>
      <formula>1</formula>
    </cfRule>
    <cfRule type="cellIs" dxfId="7659" priority="9711" stopIfTrue="1" operator="between">
      <formula>0</formula>
      <formula>0.5</formula>
    </cfRule>
  </conditionalFormatting>
  <conditionalFormatting sqref="M217">
    <cfRule type="cellIs" dxfId="7658" priority="9702" operator="between">
      <formula>0.76</formula>
      <formula>0.95</formula>
    </cfRule>
    <cfRule type="cellIs" dxfId="7657" priority="9703" operator="between">
      <formula>0.51</formula>
      <formula>0.75</formula>
    </cfRule>
    <cfRule type="cellIs" dxfId="7656" priority="9704" operator="greaterThan">
      <formula>1</formula>
    </cfRule>
    <cfRule type="cellIs" dxfId="7655" priority="9705" operator="between">
      <formula>0.95</formula>
      <formula>1</formula>
    </cfRule>
    <cfRule type="cellIs" dxfId="7654" priority="9706" stopIfTrue="1" operator="between">
      <formula>0</formula>
      <formula>0.5</formula>
    </cfRule>
  </conditionalFormatting>
  <conditionalFormatting sqref="Q15">
    <cfRule type="cellIs" dxfId="7653" priority="9697" operator="between">
      <formula>0.76</formula>
      <formula>0.95</formula>
    </cfRule>
    <cfRule type="cellIs" dxfId="7652" priority="9698" operator="between">
      <formula>0.51</formula>
      <formula>0.75</formula>
    </cfRule>
    <cfRule type="cellIs" dxfId="7651" priority="9699" operator="greaterThan">
      <formula>1</formula>
    </cfRule>
    <cfRule type="cellIs" dxfId="7650" priority="9700" operator="between">
      <formula>0.95</formula>
      <formula>1</formula>
    </cfRule>
    <cfRule type="cellIs" dxfId="7649" priority="9701" stopIfTrue="1" operator="between">
      <formula>0</formula>
      <formula>0.5</formula>
    </cfRule>
  </conditionalFormatting>
  <conditionalFormatting sqref="Q16">
    <cfRule type="cellIs" dxfId="7648" priority="9692" operator="between">
      <formula>0.76</formula>
      <formula>0.95</formula>
    </cfRule>
    <cfRule type="cellIs" dxfId="7647" priority="9693" operator="between">
      <formula>0.51</formula>
      <formula>0.75</formula>
    </cfRule>
    <cfRule type="cellIs" dxfId="7646" priority="9694" operator="greaterThan">
      <formula>1</formula>
    </cfRule>
    <cfRule type="cellIs" dxfId="7645" priority="9695" operator="between">
      <formula>0.95</formula>
      <formula>1</formula>
    </cfRule>
    <cfRule type="cellIs" dxfId="7644" priority="9696" stopIfTrue="1" operator="between">
      <formula>0</formula>
      <formula>0.5</formula>
    </cfRule>
  </conditionalFormatting>
  <conditionalFormatting sqref="Q17">
    <cfRule type="cellIs" dxfId="7643" priority="9687" operator="between">
      <formula>0.76</formula>
      <formula>0.95</formula>
    </cfRule>
    <cfRule type="cellIs" dxfId="7642" priority="9688" operator="between">
      <formula>0.51</formula>
      <formula>0.75</formula>
    </cfRule>
    <cfRule type="cellIs" dxfId="7641" priority="9689" operator="greaterThan">
      <formula>1</formula>
    </cfRule>
    <cfRule type="cellIs" dxfId="7640" priority="9690" operator="between">
      <formula>0.95</formula>
      <formula>1</formula>
    </cfRule>
    <cfRule type="cellIs" dxfId="7639" priority="9691" stopIfTrue="1" operator="between">
      <formula>0</formula>
      <formula>0.5</formula>
    </cfRule>
  </conditionalFormatting>
  <conditionalFormatting sqref="Q18">
    <cfRule type="cellIs" dxfId="7638" priority="9677" operator="between">
      <formula>0.76</formula>
      <formula>0.95</formula>
    </cfRule>
    <cfRule type="cellIs" dxfId="7637" priority="9678" operator="between">
      <formula>0.51</formula>
      <formula>0.75</formula>
    </cfRule>
    <cfRule type="cellIs" dxfId="7636" priority="9679" operator="greaterThan">
      <formula>1</formula>
    </cfRule>
    <cfRule type="cellIs" dxfId="7635" priority="9680" operator="between">
      <formula>0.95</formula>
      <formula>1</formula>
    </cfRule>
    <cfRule type="cellIs" dxfId="7634" priority="9681" stopIfTrue="1" operator="between">
      <formula>0</formula>
      <formula>0.5</formula>
    </cfRule>
  </conditionalFormatting>
  <conditionalFormatting sqref="Q19">
    <cfRule type="cellIs" dxfId="7633" priority="9672" operator="between">
      <formula>0.76</formula>
      <formula>0.95</formula>
    </cfRule>
    <cfRule type="cellIs" dxfId="7632" priority="9673" operator="between">
      <formula>0.51</formula>
      <formula>0.75</formula>
    </cfRule>
    <cfRule type="cellIs" dxfId="7631" priority="9674" operator="greaterThan">
      <formula>1</formula>
    </cfRule>
    <cfRule type="cellIs" dxfId="7630" priority="9675" operator="between">
      <formula>0.95</formula>
      <formula>1</formula>
    </cfRule>
    <cfRule type="cellIs" dxfId="7629" priority="9676" stopIfTrue="1" operator="between">
      <formula>0</formula>
      <formula>0.5</formula>
    </cfRule>
  </conditionalFormatting>
  <conditionalFormatting sqref="Q20">
    <cfRule type="cellIs" dxfId="7628" priority="9667" operator="between">
      <formula>0.76</formula>
      <formula>0.95</formula>
    </cfRule>
    <cfRule type="cellIs" dxfId="7627" priority="9668" operator="between">
      <formula>0.51</formula>
      <formula>0.75</formula>
    </cfRule>
    <cfRule type="cellIs" dxfId="7626" priority="9669" operator="greaterThan">
      <formula>1</formula>
    </cfRule>
    <cfRule type="cellIs" dxfId="7625" priority="9670" operator="between">
      <formula>0.95</formula>
      <formula>1</formula>
    </cfRule>
    <cfRule type="cellIs" dxfId="7624" priority="9671" stopIfTrue="1" operator="between">
      <formula>0</formula>
      <formula>0.5</formula>
    </cfRule>
  </conditionalFormatting>
  <conditionalFormatting sqref="Q21">
    <cfRule type="cellIs" dxfId="7623" priority="9662" operator="between">
      <formula>0.76</formula>
      <formula>0.95</formula>
    </cfRule>
    <cfRule type="cellIs" dxfId="7622" priority="9663" operator="between">
      <formula>0.51</formula>
      <formula>0.75</formula>
    </cfRule>
    <cfRule type="cellIs" dxfId="7621" priority="9664" operator="greaterThan">
      <formula>1</formula>
    </cfRule>
    <cfRule type="cellIs" dxfId="7620" priority="9665" operator="between">
      <formula>0.95</formula>
      <formula>1</formula>
    </cfRule>
    <cfRule type="cellIs" dxfId="7619" priority="9666" stopIfTrue="1" operator="between">
      <formula>0</formula>
      <formula>0.5</formula>
    </cfRule>
  </conditionalFormatting>
  <conditionalFormatting sqref="Q22">
    <cfRule type="cellIs" dxfId="7618" priority="9657" operator="between">
      <formula>0.76</formula>
      <formula>0.95</formula>
    </cfRule>
    <cfRule type="cellIs" dxfId="7617" priority="9658" operator="between">
      <formula>0.51</formula>
      <formula>0.75</formula>
    </cfRule>
    <cfRule type="cellIs" dxfId="7616" priority="9659" operator="greaterThan">
      <formula>1</formula>
    </cfRule>
    <cfRule type="cellIs" dxfId="7615" priority="9660" operator="between">
      <formula>0.95</formula>
      <formula>1</formula>
    </cfRule>
    <cfRule type="cellIs" dxfId="7614" priority="9661" stopIfTrue="1" operator="between">
      <formula>0</formula>
      <formula>0.5</formula>
    </cfRule>
  </conditionalFormatting>
  <conditionalFormatting sqref="Q23">
    <cfRule type="cellIs" dxfId="7613" priority="9652" operator="between">
      <formula>0.76</formula>
      <formula>0.95</formula>
    </cfRule>
    <cfRule type="cellIs" dxfId="7612" priority="9653" operator="between">
      <formula>0.51</formula>
      <formula>0.75</formula>
    </cfRule>
    <cfRule type="cellIs" dxfId="7611" priority="9654" operator="greaterThan">
      <formula>1</formula>
    </cfRule>
    <cfRule type="cellIs" dxfId="7610" priority="9655" operator="between">
      <formula>0.95</formula>
      <formula>1</formula>
    </cfRule>
    <cfRule type="cellIs" dxfId="7609" priority="9656" stopIfTrue="1" operator="between">
      <formula>0</formula>
      <formula>0.5</formula>
    </cfRule>
  </conditionalFormatting>
  <conditionalFormatting sqref="Q24">
    <cfRule type="cellIs" dxfId="7608" priority="9647" operator="between">
      <formula>0.76</formula>
      <formula>0.95</formula>
    </cfRule>
    <cfRule type="cellIs" dxfId="7607" priority="9648" operator="between">
      <formula>0.51</formula>
      <formula>0.75</formula>
    </cfRule>
    <cfRule type="cellIs" dxfId="7606" priority="9649" operator="greaterThan">
      <formula>1</formula>
    </cfRule>
    <cfRule type="cellIs" dxfId="7605" priority="9650" operator="between">
      <formula>0.95</formula>
      <formula>1</formula>
    </cfRule>
    <cfRule type="cellIs" dxfId="7604" priority="9651" stopIfTrue="1" operator="between">
      <formula>0</formula>
      <formula>0.5</formula>
    </cfRule>
  </conditionalFormatting>
  <conditionalFormatting sqref="Q25">
    <cfRule type="cellIs" dxfId="7603" priority="9642" operator="between">
      <formula>0.76</formula>
      <formula>0.95</formula>
    </cfRule>
    <cfRule type="cellIs" dxfId="7602" priority="9643" operator="between">
      <formula>0.51</formula>
      <formula>0.75</formula>
    </cfRule>
    <cfRule type="cellIs" dxfId="7601" priority="9644" operator="greaterThan">
      <formula>1</formula>
    </cfRule>
    <cfRule type="cellIs" dxfId="7600" priority="9645" operator="between">
      <formula>0.95</formula>
      <formula>1</formula>
    </cfRule>
    <cfRule type="cellIs" dxfId="7599" priority="9646" stopIfTrue="1" operator="between">
      <formula>0</formula>
      <formula>0.5</formula>
    </cfRule>
  </conditionalFormatting>
  <conditionalFormatting sqref="Q27">
    <cfRule type="cellIs" dxfId="7598" priority="9637" operator="between">
      <formula>0.76</formula>
      <formula>0.95</formula>
    </cfRule>
    <cfRule type="cellIs" dxfId="7597" priority="9638" operator="between">
      <formula>0.51</formula>
      <formula>0.75</formula>
    </cfRule>
    <cfRule type="cellIs" dxfId="7596" priority="9639" operator="greaterThan">
      <formula>1</formula>
    </cfRule>
    <cfRule type="cellIs" dxfId="7595" priority="9640" operator="between">
      <formula>0.95</formula>
      <formula>1</formula>
    </cfRule>
    <cfRule type="cellIs" dxfId="7594" priority="9641" stopIfTrue="1" operator="between">
      <formula>0</formula>
      <formula>0.5</formula>
    </cfRule>
  </conditionalFormatting>
  <conditionalFormatting sqref="Q28">
    <cfRule type="cellIs" dxfId="7593" priority="9632" operator="between">
      <formula>0.76</formula>
      <formula>0.95</formula>
    </cfRule>
    <cfRule type="cellIs" dxfId="7592" priority="9633" operator="between">
      <formula>0.51</formula>
      <formula>0.75</formula>
    </cfRule>
    <cfRule type="cellIs" dxfId="7591" priority="9634" operator="greaterThan">
      <formula>1</formula>
    </cfRule>
    <cfRule type="cellIs" dxfId="7590" priority="9635" operator="between">
      <formula>0.95</formula>
      <formula>1</formula>
    </cfRule>
    <cfRule type="cellIs" dxfId="7589" priority="9636" stopIfTrue="1" operator="between">
      <formula>0</formula>
      <formula>0.5</formula>
    </cfRule>
  </conditionalFormatting>
  <conditionalFormatting sqref="Q29">
    <cfRule type="cellIs" dxfId="7588" priority="9627" operator="between">
      <formula>0.76</formula>
      <formula>0.95</formula>
    </cfRule>
    <cfRule type="cellIs" dxfId="7587" priority="9628" operator="between">
      <formula>0.51</formula>
      <formula>0.75</formula>
    </cfRule>
    <cfRule type="cellIs" dxfId="7586" priority="9629" operator="greaterThan">
      <formula>1</formula>
    </cfRule>
    <cfRule type="cellIs" dxfId="7585" priority="9630" operator="between">
      <formula>0.95</formula>
      <formula>1</formula>
    </cfRule>
    <cfRule type="cellIs" dxfId="7584" priority="9631" stopIfTrue="1" operator="between">
      <formula>0</formula>
      <formula>0.5</formula>
    </cfRule>
  </conditionalFormatting>
  <conditionalFormatting sqref="Q30">
    <cfRule type="cellIs" dxfId="7583" priority="9622" operator="between">
      <formula>0.76</formula>
      <formula>0.95</formula>
    </cfRule>
    <cfRule type="cellIs" dxfId="7582" priority="9623" operator="between">
      <formula>0.51</formula>
      <formula>0.75</formula>
    </cfRule>
    <cfRule type="cellIs" dxfId="7581" priority="9624" operator="greaterThan">
      <formula>1</formula>
    </cfRule>
    <cfRule type="cellIs" dxfId="7580" priority="9625" operator="between">
      <formula>0.95</formula>
      <formula>1</formula>
    </cfRule>
    <cfRule type="cellIs" dxfId="7579" priority="9626" stopIfTrue="1" operator="between">
      <formula>0</formula>
      <formula>0.5</formula>
    </cfRule>
  </conditionalFormatting>
  <conditionalFormatting sqref="Q31">
    <cfRule type="cellIs" dxfId="7578" priority="9617" operator="between">
      <formula>0.76</formula>
      <formula>0.95</formula>
    </cfRule>
    <cfRule type="cellIs" dxfId="7577" priority="9618" operator="between">
      <formula>0.51</formula>
      <formula>0.75</formula>
    </cfRule>
    <cfRule type="cellIs" dxfId="7576" priority="9619" operator="greaterThan">
      <formula>1</formula>
    </cfRule>
    <cfRule type="cellIs" dxfId="7575" priority="9620" operator="between">
      <formula>0.95</formula>
      <formula>1</formula>
    </cfRule>
    <cfRule type="cellIs" dxfId="7574" priority="9621" stopIfTrue="1" operator="between">
      <formula>0</formula>
      <formula>0.5</formula>
    </cfRule>
  </conditionalFormatting>
  <conditionalFormatting sqref="Q33">
    <cfRule type="cellIs" dxfId="7573" priority="9612" operator="between">
      <formula>0.76</formula>
      <formula>0.95</formula>
    </cfRule>
    <cfRule type="cellIs" dxfId="7572" priority="9613" operator="between">
      <formula>0.51</formula>
      <formula>0.75</formula>
    </cfRule>
    <cfRule type="cellIs" dxfId="7571" priority="9614" operator="greaterThan">
      <formula>1</formula>
    </cfRule>
    <cfRule type="cellIs" dxfId="7570" priority="9615" operator="between">
      <formula>0.95</formula>
      <formula>1</formula>
    </cfRule>
    <cfRule type="cellIs" dxfId="7569" priority="9616" stopIfTrue="1" operator="between">
      <formula>0</formula>
      <formula>0.5</formula>
    </cfRule>
  </conditionalFormatting>
  <conditionalFormatting sqref="Q32">
    <cfRule type="cellIs" dxfId="7568" priority="9607" operator="between">
      <formula>0.76</formula>
      <formula>0.95</formula>
    </cfRule>
    <cfRule type="cellIs" dxfId="7567" priority="9608" operator="between">
      <formula>0.51</formula>
      <formula>0.75</formula>
    </cfRule>
    <cfRule type="cellIs" dxfId="7566" priority="9609" operator="greaterThan">
      <formula>1</formula>
    </cfRule>
    <cfRule type="cellIs" dxfId="7565" priority="9610" operator="between">
      <formula>0.95</formula>
      <formula>1</formula>
    </cfRule>
    <cfRule type="cellIs" dxfId="7564" priority="9611" stopIfTrue="1" operator="between">
      <formula>0</formula>
      <formula>0.5</formula>
    </cfRule>
  </conditionalFormatting>
  <conditionalFormatting sqref="Q34">
    <cfRule type="cellIs" dxfId="7563" priority="9602" operator="between">
      <formula>0.76</formula>
      <formula>0.95</formula>
    </cfRule>
    <cfRule type="cellIs" dxfId="7562" priority="9603" operator="between">
      <formula>0.51</formula>
      <formula>0.75</formula>
    </cfRule>
    <cfRule type="cellIs" dxfId="7561" priority="9604" operator="greaterThan">
      <formula>1</formula>
    </cfRule>
    <cfRule type="cellIs" dxfId="7560" priority="9605" operator="between">
      <formula>0.95</formula>
      <formula>1</formula>
    </cfRule>
    <cfRule type="cellIs" dxfId="7559" priority="9606" stopIfTrue="1" operator="between">
      <formula>0</formula>
      <formula>0.5</formula>
    </cfRule>
  </conditionalFormatting>
  <conditionalFormatting sqref="Q35">
    <cfRule type="cellIs" dxfId="7558" priority="9592" operator="between">
      <formula>0.76</formula>
      <formula>0.95</formula>
    </cfRule>
    <cfRule type="cellIs" dxfId="7557" priority="9593" operator="between">
      <formula>0.51</formula>
      <formula>0.75</formula>
    </cfRule>
    <cfRule type="cellIs" dxfId="7556" priority="9594" operator="greaterThan">
      <formula>1</formula>
    </cfRule>
    <cfRule type="cellIs" dxfId="7555" priority="9595" operator="between">
      <formula>0.95</formula>
      <formula>1</formula>
    </cfRule>
    <cfRule type="cellIs" dxfId="7554" priority="9596" stopIfTrue="1" operator="between">
      <formula>0</formula>
      <formula>0.5</formula>
    </cfRule>
  </conditionalFormatting>
  <conditionalFormatting sqref="Q36">
    <cfRule type="cellIs" dxfId="7553" priority="9587" operator="between">
      <formula>0.76</formula>
      <formula>0.95</formula>
    </cfRule>
    <cfRule type="cellIs" dxfId="7552" priority="9588" operator="between">
      <formula>0.51</formula>
      <formula>0.75</formula>
    </cfRule>
    <cfRule type="cellIs" dxfId="7551" priority="9589" operator="greaterThan">
      <formula>1</formula>
    </cfRule>
    <cfRule type="cellIs" dxfId="7550" priority="9590" operator="between">
      <formula>0.95</formula>
      <formula>1</formula>
    </cfRule>
    <cfRule type="cellIs" dxfId="7549" priority="9591" stopIfTrue="1" operator="between">
      <formula>0</formula>
      <formula>0.5</formula>
    </cfRule>
  </conditionalFormatting>
  <conditionalFormatting sqref="Q37">
    <cfRule type="cellIs" dxfId="7548" priority="9582" operator="between">
      <formula>0.76</formula>
      <formula>0.95</formula>
    </cfRule>
    <cfRule type="cellIs" dxfId="7547" priority="9583" operator="between">
      <formula>0.51</formula>
      <formula>0.75</formula>
    </cfRule>
    <cfRule type="cellIs" dxfId="7546" priority="9584" operator="greaterThan">
      <formula>1</formula>
    </cfRule>
    <cfRule type="cellIs" dxfId="7545" priority="9585" operator="between">
      <formula>0.95</formula>
      <formula>1</formula>
    </cfRule>
    <cfRule type="cellIs" dxfId="7544" priority="9586" stopIfTrue="1" operator="between">
      <formula>0</formula>
      <formula>0.5</formula>
    </cfRule>
  </conditionalFormatting>
  <conditionalFormatting sqref="Q38">
    <cfRule type="cellIs" dxfId="7543" priority="9577" operator="between">
      <formula>0.76</formula>
      <formula>0.95</formula>
    </cfRule>
    <cfRule type="cellIs" dxfId="7542" priority="9578" operator="between">
      <formula>0.51</formula>
      <formula>0.75</formula>
    </cfRule>
    <cfRule type="cellIs" dxfId="7541" priority="9579" operator="greaterThan">
      <formula>1</formula>
    </cfRule>
    <cfRule type="cellIs" dxfId="7540" priority="9580" operator="between">
      <formula>0.95</formula>
      <formula>1</formula>
    </cfRule>
    <cfRule type="cellIs" dxfId="7539" priority="9581" stopIfTrue="1" operator="between">
      <formula>0</formula>
      <formula>0.5</formula>
    </cfRule>
  </conditionalFormatting>
  <conditionalFormatting sqref="Q39">
    <cfRule type="cellIs" dxfId="7538" priority="9572" operator="between">
      <formula>0.76</formula>
      <formula>0.95</formula>
    </cfRule>
    <cfRule type="cellIs" dxfId="7537" priority="9573" operator="between">
      <formula>0.51</formula>
      <formula>0.75</formula>
    </cfRule>
    <cfRule type="cellIs" dxfId="7536" priority="9574" operator="greaterThan">
      <formula>1</formula>
    </cfRule>
    <cfRule type="cellIs" dxfId="7535" priority="9575" operator="between">
      <formula>0.95</formula>
      <formula>1</formula>
    </cfRule>
    <cfRule type="cellIs" dxfId="7534" priority="9576" stopIfTrue="1" operator="between">
      <formula>0</formula>
      <formula>0.5</formula>
    </cfRule>
  </conditionalFormatting>
  <conditionalFormatting sqref="Q40">
    <cfRule type="cellIs" dxfId="7533" priority="9567" operator="between">
      <formula>0.76</formula>
      <formula>0.95</formula>
    </cfRule>
    <cfRule type="cellIs" dxfId="7532" priority="9568" operator="between">
      <formula>0.51</formula>
      <formula>0.75</formula>
    </cfRule>
    <cfRule type="cellIs" dxfId="7531" priority="9569" operator="greaterThan">
      <formula>1</formula>
    </cfRule>
    <cfRule type="cellIs" dxfId="7530" priority="9570" operator="between">
      <formula>0.95</formula>
      <formula>1</formula>
    </cfRule>
    <cfRule type="cellIs" dxfId="7529" priority="9571" stopIfTrue="1" operator="between">
      <formula>0</formula>
      <formula>0.5</formula>
    </cfRule>
  </conditionalFormatting>
  <conditionalFormatting sqref="Q41">
    <cfRule type="cellIs" dxfId="7528" priority="9562" operator="between">
      <formula>0.76</formula>
      <formula>0.95</formula>
    </cfRule>
    <cfRule type="cellIs" dxfId="7527" priority="9563" operator="between">
      <formula>0.51</formula>
      <formula>0.75</formula>
    </cfRule>
    <cfRule type="cellIs" dxfId="7526" priority="9564" operator="greaterThan">
      <formula>1</formula>
    </cfRule>
    <cfRule type="cellIs" dxfId="7525" priority="9565" operator="between">
      <formula>0.95</formula>
      <formula>1</formula>
    </cfRule>
    <cfRule type="cellIs" dxfId="7524" priority="9566" stopIfTrue="1" operator="between">
      <formula>0</formula>
      <formula>0.5</formula>
    </cfRule>
  </conditionalFormatting>
  <conditionalFormatting sqref="Q43">
    <cfRule type="cellIs" dxfId="7523" priority="9557" operator="between">
      <formula>0.76</formula>
      <formula>0.95</formula>
    </cfRule>
    <cfRule type="cellIs" dxfId="7522" priority="9558" operator="between">
      <formula>0.51</formula>
      <formula>0.75</formula>
    </cfRule>
    <cfRule type="cellIs" dxfId="7521" priority="9559" operator="greaterThan">
      <formula>1</formula>
    </cfRule>
    <cfRule type="cellIs" dxfId="7520" priority="9560" operator="between">
      <formula>0.95</formula>
      <formula>1</formula>
    </cfRule>
    <cfRule type="cellIs" dxfId="7519" priority="9561" stopIfTrue="1" operator="between">
      <formula>0</formula>
      <formula>0.5</formula>
    </cfRule>
  </conditionalFormatting>
  <conditionalFormatting sqref="Q42">
    <cfRule type="cellIs" dxfId="7518" priority="9552" operator="between">
      <formula>0.76</formula>
      <formula>0.95</formula>
    </cfRule>
    <cfRule type="cellIs" dxfId="7517" priority="9553" operator="between">
      <formula>0.51</formula>
      <formula>0.75</formula>
    </cfRule>
    <cfRule type="cellIs" dxfId="7516" priority="9554" operator="greaterThan">
      <formula>1</formula>
    </cfRule>
    <cfRule type="cellIs" dxfId="7515" priority="9555" operator="between">
      <formula>0.95</formula>
      <formula>1</formula>
    </cfRule>
    <cfRule type="cellIs" dxfId="7514" priority="9556" stopIfTrue="1" operator="between">
      <formula>0</formula>
      <formula>0.5</formula>
    </cfRule>
  </conditionalFormatting>
  <conditionalFormatting sqref="Q44">
    <cfRule type="cellIs" dxfId="7513" priority="9547" operator="between">
      <formula>0.76</formula>
      <formula>0.95</formula>
    </cfRule>
    <cfRule type="cellIs" dxfId="7512" priority="9548" operator="between">
      <formula>0.51</formula>
      <formula>0.75</formula>
    </cfRule>
    <cfRule type="cellIs" dxfId="7511" priority="9549" operator="greaterThan">
      <formula>1</formula>
    </cfRule>
    <cfRule type="cellIs" dxfId="7510" priority="9550" operator="between">
      <formula>0.95</formula>
      <formula>1</formula>
    </cfRule>
    <cfRule type="cellIs" dxfId="7509" priority="9551" stopIfTrue="1" operator="between">
      <formula>0</formula>
      <formula>0.5</formula>
    </cfRule>
  </conditionalFormatting>
  <conditionalFormatting sqref="Q45">
    <cfRule type="cellIs" dxfId="7508" priority="9542" operator="between">
      <formula>0.76</formula>
      <formula>0.95</formula>
    </cfRule>
    <cfRule type="cellIs" dxfId="7507" priority="9543" operator="between">
      <formula>0.51</formula>
      <formula>0.75</formula>
    </cfRule>
    <cfRule type="cellIs" dxfId="7506" priority="9544" operator="greaterThan">
      <formula>1</formula>
    </cfRule>
    <cfRule type="cellIs" dxfId="7505" priority="9545" operator="between">
      <formula>0.95</formula>
      <formula>1</formula>
    </cfRule>
    <cfRule type="cellIs" dxfId="7504" priority="9546" stopIfTrue="1" operator="between">
      <formula>0</formula>
      <formula>0.5</formula>
    </cfRule>
  </conditionalFormatting>
  <conditionalFormatting sqref="Q46">
    <cfRule type="cellIs" dxfId="7503" priority="9537" operator="between">
      <formula>0.76</formula>
      <formula>0.95</formula>
    </cfRule>
    <cfRule type="cellIs" dxfId="7502" priority="9538" operator="between">
      <formula>0.51</formula>
      <formula>0.75</formula>
    </cfRule>
    <cfRule type="cellIs" dxfId="7501" priority="9539" operator="greaterThan">
      <formula>1</formula>
    </cfRule>
    <cfRule type="cellIs" dxfId="7500" priority="9540" operator="between">
      <formula>0.95</formula>
      <formula>1</formula>
    </cfRule>
    <cfRule type="cellIs" dxfId="7499" priority="9541" stopIfTrue="1" operator="between">
      <formula>0</formula>
      <formula>0.5</formula>
    </cfRule>
  </conditionalFormatting>
  <conditionalFormatting sqref="Q47">
    <cfRule type="cellIs" dxfId="7498" priority="9532" operator="between">
      <formula>0.76</formula>
      <formula>0.95</formula>
    </cfRule>
    <cfRule type="cellIs" dxfId="7497" priority="9533" operator="between">
      <formula>0.51</formula>
      <formula>0.75</formula>
    </cfRule>
    <cfRule type="cellIs" dxfId="7496" priority="9534" operator="greaterThan">
      <formula>1</formula>
    </cfRule>
    <cfRule type="cellIs" dxfId="7495" priority="9535" operator="between">
      <formula>0.95</formula>
      <formula>1</formula>
    </cfRule>
    <cfRule type="cellIs" dxfId="7494" priority="9536" stopIfTrue="1" operator="between">
      <formula>0</formula>
      <formula>0.5</formula>
    </cfRule>
  </conditionalFormatting>
  <conditionalFormatting sqref="Q48">
    <cfRule type="cellIs" dxfId="7493" priority="9527" operator="between">
      <formula>0.76</formula>
      <formula>0.95</formula>
    </cfRule>
    <cfRule type="cellIs" dxfId="7492" priority="9528" operator="between">
      <formula>0.51</formula>
      <formula>0.75</formula>
    </cfRule>
    <cfRule type="cellIs" dxfId="7491" priority="9529" operator="greaterThan">
      <formula>1</formula>
    </cfRule>
    <cfRule type="cellIs" dxfId="7490" priority="9530" operator="between">
      <formula>0.95</formula>
      <formula>1</formula>
    </cfRule>
    <cfRule type="cellIs" dxfId="7489" priority="9531" stopIfTrue="1" operator="between">
      <formula>0</formula>
      <formula>0.5</formula>
    </cfRule>
  </conditionalFormatting>
  <conditionalFormatting sqref="Q49">
    <cfRule type="cellIs" dxfId="7488" priority="9522" operator="between">
      <formula>0.76</formula>
      <formula>0.95</formula>
    </cfRule>
    <cfRule type="cellIs" dxfId="7487" priority="9523" operator="between">
      <formula>0.51</formula>
      <formula>0.75</formula>
    </cfRule>
    <cfRule type="cellIs" dxfId="7486" priority="9524" operator="greaterThan">
      <formula>1</formula>
    </cfRule>
    <cfRule type="cellIs" dxfId="7485" priority="9525" operator="between">
      <formula>0.95</formula>
      <formula>1</formula>
    </cfRule>
    <cfRule type="cellIs" dxfId="7484" priority="9526" stopIfTrue="1" operator="between">
      <formula>0</formula>
      <formula>0.5</formula>
    </cfRule>
  </conditionalFormatting>
  <conditionalFormatting sqref="Q50">
    <cfRule type="cellIs" dxfId="7483" priority="9517" operator="between">
      <formula>0.76</formula>
      <formula>0.95</formula>
    </cfRule>
    <cfRule type="cellIs" dxfId="7482" priority="9518" operator="between">
      <formula>0.51</formula>
      <formula>0.75</formula>
    </cfRule>
    <cfRule type="cellIs" dxfId="7481" priority="9519" operator="greaterThan">
      <formula>1</formula>
    </cfRule>
    <cfRule type="cellIs" dxfId="7480" priority="9520" operator="between">
      <formula>0.95</formula>
      <formula>1</formula>
    </cfRule>
    <cfRule type="cellIs" dxfId="7479" priority="9521" stopIfTrue="1" operator="between">
      <formula>0</formula>
      <formula>0.5</formula>
    </cfRule>
  </conditionalFormatting>
  <conditionalFormatting sqref="Q51">
    <cfRule type="cellIs" dxfId="7478" priority="9512" operator="between">
      <formula>0.76</formula>
      <formula>0.95</formula>
    </cfRule>
    <cfRule type="cellIs" dxfId="7477" priority="9513" operator="between">
      <formula>0.51</formula>
      <formula>0.75</formula>
    </cfRule>
    <cfRule type="cellIs" dxfId="7476" priority="9514" operator="greaterThan">
      <formula>1</formula>
    </cfRule>
    <cfRule type="cellIs" dxfId="7475" priority="9515" operator="between">
      <formula>0.95</formula>
      <formula>1</formula>
    </cfRule>
    <cfRule type="cellIs" dxfId="7474" priority="9516" stopIfTrue="1" operator="between">
      <formula>0</formula>
      <formula>0.5</formula>
    </cfRule>
  </conditionalFormatting>
  <conditionalFormatting sqref="Q52">
    <cfRule type="cellIs" dxfId="7473" priority="9507" operator="between">
      <formula>0.76</formula>
      <formula>0.95</formula>
    </cfRule>
    <cfRule type="cellIs" dxfId="7472" priority="9508" operator="between">
      <formula>0.51</formula>
      <formula>0.75</formula>
    </cfRule>
    <cfRule type="cellIs" dxfId="7471" priority="9509" operator="greaterThan">
      <formula>1</formula>
    </cfRule>
    <cfRule type="cellIs" dxfId="7470" priority="9510" operator="between">
      <formula>0.95</formula>
      <formula>1</formula>
    </cfRule>
    <cfRule type="cellIs" dxfId="7469" priority="9511" stopIfTrue="1" operator="between">
      <formula>0</formula>
      <formula>0.5</formula>
    </cfRule>
  </conditionalFormatting>
  <conditionalFormatting sqref="Q54">
    <cfRule type="cellIs" dxfId="7468" priority="9502" operator="between">
      <formula>0.76</formula>
      <formula>0.95</formula>
    </cfRule>
    <cfRule type="cellIs" dxfId="7467" priority="9503" operator="between">
      <formula>0.51</formula>
      <formula>0.75</formula>
    </cfRule>
    <cfRule type="cellIs" dxfId="7466" priority="9504" operator="greaterThan">
      <formula>1</formula>
    </cfRule>
    <cfRule type="cellIs" dxfId="7465" priority="9505" operator="between">
      <formula>0.95</formula>
      <formula>1</formula>
    </cfRule>
    <cfRule type="cellIs" dxfId="7464" priority="9506" stopIfTrue="1" operator="between">
      <formula>0</formula>
      <formula>0.5</formula>
    </cfRule>
  </conditionalFormatting>
  <conditionalFormatting sqref="Q53">
    <cfRule type="cellIs" dxfId="7463" priority="9497" operator="between">
      <formula>0.76</formula>
      <formula>0.95</formula>
    </cfRule>
    <cfRule type="cellIs" dxfId="7462" priority="9498" operator="between">
      <formula>0.51</formula>
      <formula>0.75</formula>
    </cfRule>
    <cfRule type="cellIs" dxfId="7461" priority="9499" operator="greaterThan">
      <formula>1</formula>
    </cfRule>
    <cfRule type="cellIs" dxfId="7460" priority="9500" operator="between">
      <formula>0.95</formula>
      <formula>1</formula>
    </cfRule>
    <cfRule type="cellIs" dxfId="7459" priority="9501" stopIfTrue="1" operator="between">
      <formula>0</formula>
      <formula>0.5</formula>
    </cfRule>
  </conditionalFormatting>
  <conditionalFormatting sqref="Q55">
    <cfRule type="cellIs" dxfId="7458" priority="9492" operator="between">
      <formula>0.76</formula>
      <formula>0.95</formula>
    </cfRule>
    <cfRule type="cellIs" dxfId="7457" priority="9493" operator="between">
      <formula>0.51</formula>
      <formula>0.75</formula>
    </cfRule>
    <cfRule type="cellIs" dxfId="7456" priority="9494" operator="greaterThan">
      <formula>1</formula>
    </cfRule>
    <cfRule type="cellIs" dxfId="7455" priority="9495" operator="between">
      <formula>0.95</formula>
      <formula>1</formula>
    </cfRule>
    <cfRule type="cellIs" dxfId="7454" priority="9496" stopIfTrue="1" operator="between">
      <formula>0</formula>
      <formula>0.5</formula>
    </cfRule>
  </conditionalFormatting>
  <conditionalFormatting sqref="Q56">
    <cfRule type="cellIs" dxfId="7453" priority="9487" operator="between">
      <formula>0.76</formula>
      <formula>0.95</formula>
    </cfRule>
    <cfRule type="cellIs" dxfId="7452" priority="9488" operator="between">
      <formula>0.51</formula>
      <formula>0.75</formula>
    </cfRule>
    <cfRule type="cellIs" dxfId="7451" priority="9489" operator="greaterThan">
      <formula>1</formula>
    </cfRule>
    <cfRule type="cellIs" dxfId="7450" priority="9490" operator="between">
      <formula>0.95</formula>
      <formula>1</formula>
    </cfRule>
    <cfRule type="cellIs" dxfId="7449" priority="9491" stopIfTrue="1" operator="between">
      <formula>0</formula>
      <formula>0.5</formula>
    </cfRule>
  </conditionalFormatting>
  <conditionalFormatting sqref="Q57">
    <cfRule type="cellIs" dxfId="7448" priority="9482" operator="between">
      <formula>0.76</formula>
      <formula>0.95</formula>
    </cfRule>
    <cfRule type="cellIs" dxfId="7447" priority="9483" operator="between">
      <formula>0.51</formula>
      <formula>0.75</formula>
    </cfRule>
    <cfRule type="cellIs" dxfId="7446" priority="9484" operator="greaterThan">
      <formula>1</formula>
    </cfRule>
    <cfRule type="cellIs" dxfId="7445" priority="9485" operator="between">
      <formula>0.95</formula>
      <formula>1</formula>
    </cfRule>
    <cfRule type="cellIs" dxfId="7444" priority="9486" stopIfTrue="1" operator="between">
      <formula>0</formula>
      <formula>0.5</formula>
    </cfRule>
  </conditionalFormatting>
  <conditionalFormatting sqref="Q58">
    <cfRule type="cellIs" dxfId="7443" priority="9477" operator="between">
      <formula>0.76</formula>
      <formula>0.95</formula>
    </cfRule>
    <cfRule type="cellIs" dxfId="7442" priority="9478" operator="between">
      <formula>0.51</formula>
      <formula>0.75</formula>
    </cfRule>
    <cfRule type="cellIs" dxfId="7441" priority="9479" operator="greaterThan">
      <formula>1</formula>
    </cfRule>
    <cfRule type="cellIs" dxfId="7440" priority="9480" operator="between">
      <formula>0.95</formula>
      <formula>1</formula>
    </cfRule>
    <cfRule type="cellIs" dxfId="7439" priority="9481" stopIfTrue="1" operator="between">
      <formula>0</formula>
      <formula>0.5</formula>
    </cfRule>
  </conditionalFormatting>
  <conditionalFormatting sqref="Q59">
    <cfRule type="cellIs" dxfId="7438" priority="9467" operator="between">
      <formula>0.76</formula>
      <formula>0.95</formula>
    </cfRule>
    <cfRule type="cellIs" dxfId="7437" priority="9468" operator="between">
      <formula>0.51</formula>
      <formula>0.75</formula>
    </cfRule>
    <cfRule type="cellIs" dxfId="7436" priority="9469" operator="greaterThan">
      <formula>1</formula>
    </cfRule>
    <cfRule type="cellIs" dxfId="7435" priority="9470" operator="between">
      <formula>0.95</formula>
      <formula>1</formula>
    </cfRule>
    <cfRule type="cellIs" dxfId="7434" priority="9471" stopIfTrue="1" operator="between">
      <formula>0</formula>
      <formula>0.5</formula>
    </cfRule>
  </conditionalFormatting>
  <conditionalFormatting sqref="Q60">
    <cfRule type="cellIs" dxfId="7433" priority="9462" operator="between">
      <formula>0.76</formula>
      <formula>0.95</formula>
    </cfRule>
    <cfRule type="cellIs" dxfId="7432" priority="9463" operator="between">
      <formula>0.51</formula>
      <formula>0.75</formula>
    </cfRule>
    <cfRule type="cellIs" dxfId="7431" priority="9464" operator="greaterThan">
      <formula>1</formula>
    </cfRule>
    <cfRule type="cellIs" dxfId="7430" priority="9465" operator="between">
      <formula>0.95</formula>
      <formula>1</formula>
    </cfRule>
    <cfRule type="cellIs" dxfId="7429" priority="9466" stopIfTrue="1" operator="between">
      <formula>0</formula>
      <formula>0.5</formula>
    </cfRule>
  </conditionalFormatting>
  <conditionalFormatting sqref="Q61">
    <cfRule type="cellIs" dxfId="7428" priority="9457" operator="between">
      <formula>0.76</formula>
      <formula>0.95</formula>
    </cfRule>
    <cfRule type="cellIs" dxfId="7427" priority="9458" operator="between">
      <formula>0.51</formula>
      <formula>0.75</formula>
    </cfRule>
    <cfRule type="cellIs" dxfId="7426" priority="9459" operator="greaterThan">
      <formula>1</formula>
    </cfRule>
    <cfRule type="cellIs" dxfId="7425" priority="9460" operator="between">
      <formula>0.95</formula>
      <formula>1</formula>
    </cfRule>
    <cfRule type="cellIs" dxfId="7424" priority="9461" stopIfTrue="1" operator="between">
      <formula>0</formula>
      <formula>0.5</formula>
    </cfRule>
  </conditionalFormatting>
  <conditionalFormatting sqref="Q63">
    <cfRule type="cellIs" dxfId="7423" priority="9452" operator="between">
      <formula>0.76</formula>
      <formula>0.95</formula>
    </cfRule>
    <cfRule type="cellIs" dxfId="7422" priority="9453" operator="between">
      <formula>0.51</formula>
      <formula>0.75</formula>
    </cfRule>
    <cfRule type="cellIs" dxfId="7421" priority="9454" operator="greaterThan">
      <formula>1</formula>
    </cfRule>
    <cfRule type="cellIs" dxfId="7420" priority="9455" operator="between">
      <formula>0.95</formula>
      <formula>1</formula>
    </cfRule>
    <cfRule type="cellIs" dxfId="7419" priority="9456" stopIfTrue="1" operator="between">
      <formula>0</formula>
      <formula>0.5</formula>
    </cfRule>
  </conditionalFormatting>
  <conditionalFormatting sqref="Q64">
    <cfRule type="cellIs" dxfId="7418" priority="9447" operator="between">
      <formula>0.76</formula>
      <formula>0.95</formula>
    </cfRule>
    <cfRule type="cellIs" dxfId="7417" priority="9448" operator="between">
      <formula>0.51</formula>
      <formula>0.75</formula>
    </cfRule>
    <cfRule type="cellIs" dxfId="7416" priority="9449" operator="greaterThan">
      <formula>1</formula>
    </cfRule>
    <cfRule type="cellIs" dxfId="7415" priority="9450" operator="between">
      <formula>0.95</formula>
      <formula>1</formula>
    </cfRule>
    <cfRule type="cellIs" dxfId="7414" priority="9451" stopIfTrue="1" operator="between">
      <formula>0</formula>
      <formula>0.5</formula>
    </cfRule>
  </conditionalFormatting>
  <conditionalFormatting sqref="Q65">
    <cfRule type="cellIs" dxfId="7413" priority="9442" operator="between">
      <formula>0.76</formula>
      <formula>0.95</formula>
    </cfRule>
    <cfRule type="cellIs" dxfId="7412" priority="9443" operator="between">
      <formula>0.51</formula>
      <formula>0.75</formula>
    </cfRule>
    <cfRule type="cellIs" dxfId="7411" priority="9444" operator="greaterThan">
      <formula>1</formula>
    </cfRule>
    <cfRule type="cellIs" dxfId="7410" priority="9445" operator="between">
      <formula>0.95</formula>
      <formula>1</formula>
    </cfRule>
    <cfRule type="cellIs" dxfId="7409" priority="9446" stopIfTrue="1" operator="between">
      <formula>0</formula>
      <formula>0.5</formula>
    </cfRule>
  </conditionalFormatting>
  <conditionalFormatting sqref="Q66">
    <cfRule type="cellIs" dxfId="7408" priority="9437" operator="between">
      <formula>0.76</formula>
      <formula>0.95</formula>
    </cfRule>
    <cfRule type="cellIs" dxfId="7407" priority="9438" operator="between">
      <formula>0.51</formula>
      <formula>0.75</formula>
    </cfRule>
    <cfRule type="cellIs" dxfId="7406" priority="9439" operator="greaterThan">
      <formula>1</formula>
    </cfRule>
    <cfRule type="cellIs" dxfId="7405" priority="9440" operator="between">
      <formula>0.95</formula>
      <formula>1</formula>
    </cfRule>
    <cfRule type="cellIs" dxfId="7404" priority="9441" stopIfTrue="1" operator="between">
      <formula>0</formula>
      <formula>0.5</formula>
    </cfRule>
  </conditionalFormatting>
  <conditionalFormatting sqref="Q67">
    <cfRule type="cellIs" dxfId="7403" priority="9432" operator="between">
      <formula>0.76</formula>
      <formula>0.95</formula>
    </cfRule>
    <cfRule type="cellIs" dxfId="7402" priority="9433" operator="between">
      <formula>0.51</formula>
      <formula>0.75</formula>
    </cfRule>
    <cfRule type="cellIs" dxfId="7401" priority="9434" operator="greaterThan">
      <formula>1</formula>
    </cfRule>
    <cfRule type="cellIs" dxfId="7400" priority="9435" operator="between">
      <formula>0.95</formula>
      <formula>1</formula>
    </cfRule>
    <cfRule type="cellIs" dxfId="7399" priority="9436" stopIfTrue="1" operator="between">
      <formula>0</formula>
      <formula>0.5</formula>
    </cfRule>
  </conditionalFormatting>
  <conditionalFormatting sqref="Q68">
    <cfRule type="cellIs" dxfId="7398" priority="9427" operator="between">
      <formula>0.76</formula>
      <formula>0.95</formula>
    </cfRule>
    <cfRule type="cellIs" dxfId="7397" priority="9428" operator="between">
      <formula>0.51</formula>
      <formula>0.75</formula>
    </cfRule>
    <cfRule type="cellIs" dxfId="7396" priority="9429" operator="greaterThan">
      <formula>1</formula>
    </cfRule>
    <cfRule type="cellIs" dxfId="7395" priority="9430" operator="between">
      <formula>0.95</formula>
      <formula>1</formula>
    </cfRule>
    <cfRule type="cellIs" dxfId="7394" priority="9431" stopIfTrue="1" operator="between">
      <formula>0</formula>
      <formula>0.5</formula>
    </cfRule>
  </conditionalFormatting>
  <conditionalFormatting sqref="Q69">
    <cfRule type="cellIs" dxfId="7393" priority="9422" operator="between">
      <formula>0.76</formula>
      <formula>0.95</formula>
    </cfRule>
    <cfRule type="cellIs" dxfId="7392" priority="9423" operator="between">
      <formula>0.51</formula>
      <formula>0.75</formula>
    </cfRule>
    <cfRule type="cellIs" dxfId="7391" priority="9424" operator="greaterThan">
      <formula>1</formula>
    </cfRule>
    <cfRule type="cellIs" dxfId="7390" priority="9425" operator="between">
      <formula>0.95</formula>
      <formula>1</formula>
    </cfRule>
    <cfRule type="cellIs" dxfId="7389" priority="9426" stopIfTrue="1" operator="between">
      <formula>0</formula>
      <formula>0.5</formula>
    </cfRule>
  </conditionalFormatting>
  <conditionalFormatting sqref="Q70">
    <cfRule type="cellIs" dxfId="7388" priority="9417" operator="between">
      <formula>0.76</formula>
      <formula>0.95</formula>
    </cfRule>
    <cfRule type="cellIs" dxfId="7387" priority="9418" operator="between">
      <formula>0.51</formula>
      <formula>0.75</formula>
    </cfRule>
    <cfRule type="cellIs" dxfId="7386" priority="9419" operator="greaterThan">
      <formula>1</formula>
    </cfRule>
    <cfRule type="cellIs" dxfId="7385" priority="9420" operator="between">
      <formula>0.95</formula>
      <formula>1</formula>
    </cfRule>
    <cfRule type="cellIs" dxfId="7384" priority="9421" stopIfTrue="1" operator="between">
      <formula>0</formula>
      <formula>0.5</formula>
    </cfRule>
  </conditionalFormatting>
  <conditionalFormatting sqref="Q71">
    <cfRule type="cellIs" dxfId="7383" priority="9412" operator="between">
      <formula>0.76</formula>
      <formula>0.95</formula>
    </cfRule>
    <cfRule type="cellIs" dxfId="7382" priority="9413" operator="between">
      <formula>0.51</formula>
      <formula>0.75</formula>
    </cfRule>
    <cfRule type="cellIs" dxfId="7381" priority="9414" operator="greaterThan">
      <formula>1</formula>
    </cfRule>
    <cfRule type="cellIs" dxfId="7380" priority="9415" operator="between">
      <formula>0.95</formula>
      <formula>1</formula>
    </cfRule>
    <cfRule type="cellIs" dxfId="7379" priority="9416" stopIfTrue="1" operator="between">
      <formula>0</formula>
      <formula>0.5</formula>
    </cfRule>
  </conditionalFormatting>
  <conditionalFormatting sqref="Q72">
    <cfRule type="cellIs" dxfId="7378" priority="9407" operator="between">
      <formula>0.76</formula>
      <formula>0.95</formula>
    </cfRule>
    <cfRule type="cellIs" dxfId="7377" priority="9408" operator="between">
      <formula>0.51</formula>
      <formula>0.75</formula>
    </cfRule>
    <cfRule type="cellIs" dxfId="7376" priority="9409" operator="greaterThan">
      <formula>1</formula>
    </cfRule>
    <cfRule type="cellIs" dxfId="7375" priority="9410" operator="between">
      <formula>0.95</formula>
      <formula>1</formula>
    </cfRule>
    <cfRule type="cellIs" dxfId="7374" priority="9411" stopIfTrue="1" operator="between">
      <formula>0</formula>
      <formula>0.5</formula>
    </cfRule>
  </conditionalFormatting>
  <conditionalFormatting sqref="Q73">
    <cfRule type="cellIs" dxfId="7373" priority="9402" operator="between">
      <formula>0.76</formula>
      <formula>0.95</formula>
    </cfRule>
    <cfRule type="cellIs" dxfId="7372" priority="9403" operator="between">
      <formula>0.51</formula>
      <formula>0.75</formula>
    </cfRule>
    <cfRule type="cellIs" dxfId="7371" priority="9404" operator="greaterThan">
      <formula>1</formula>
    </cfRule>
    <cfRule type="cellIs" dxfId="7370" priority="9405" operator="between">
      <formula>0.95</formula>
      <formula>1</formula>
    </cfRule>
    <cfRule type="cellIs" dxfId="7369" priority="9406" stopIfTrue="1" operator="between">
      <formula>0</formula>
      <formula>0.5</formula>
    </cfRule>
  </conditionalFormatting>
  <conditionalFormatting sqref="Q74">
    <cfRule type="cellIs" dxfId="7368" priority="9397" operator="between">
      <formula>0.76</formula>
      <formula>0.95</formula>
    </cfRule>
    <cfRule type="cellIs" dxfId="7367" priority="9398" operator="between">
      <formula>0.51</formula>
      <formula>0.75</formula>
    </cfRule>
    <cfRule type="cellIs" dxfId="7366" priority="9399" operator="greaterThan">
      <formula>1</formula>
    </cfRule>
    <cfRule type="cellIs" dxfId="7365" priority="9400" operator="between">
      <formula>0.95</formula>
      <formula>1</formula>
    </cfRule>
    <cfRule type="cellIs" dxfId="7364" priority="9401" stopIfTrue="1" operator="between">
      <formula>0</formula>
      <formula>0.5</formula>
    </cfRule>
  </conditionalFormatting>
  <conditionalFormatting sqref="Q75">
    <cfRule type="cellIs" dxfId="7363" priority="9392" operator="between">
      <formula>0.76</formula>
      <formula>0.95</formula>
    </cfRule>
    <cfRule type="cellIs" dxfId="7362" priority="9393" operator="between">
      <formula>0.51</formula>
      <formula>0.75</formula>
    </cfRule>
    <cfRule type="cellIs" dxfId="7361" priority="9394" operator="greaterThan">
      <formula>1</formula>
    </cfRule>
    <cfRule type="cellIs" dxfId="7360" priority="9395" operator="between">
      <formula>0.95</formula>
      <formula>1</formula>
    </cfRule>
    <cfRule type="cellIs" dxfId="7359" priority="9396" stopIfTrue="1" operator="between">
      <formula>0</formula>
      <formula>0.5</formula>
    </cfRule>
  </conditionalFormatting>
  <conditionalFormatting sqref="Q78">
    <cfRule type="cellIs" dxfId="7358" priority="9387" operator="between">
      <formula>0.76</formula>
      <formula>0.95</formula>
    </cfRule>
    <cfRule type="cellIs" dxfId="7357" priority="9388" operator="between">
      <formula>0.51</formula>
      <formula>0.75</formula>
    </cfRule>
    <cfRule type="cellIs" dxfId="7356" priority="9389" operator="greaterThan">
      <formula>1</formula>
    </cfRule>
    <cfRule type="cellIs" dxfId="7355" priority="9390" operator="between">
      <formula>0.95</formula>
      <formula>1</formula>
    </cfRule>
    <cfRule type="cellIs" dxfId="7354" priority="9391" stopIfTrue="1" operator="between">
      <formula>0</formula>
      <formula>0.5</formula>
    </cfRule>
  </conditionalFormatting>
  <conditionalFormatting sqref="Q79">
    <cfRule type="cellIs" dxfId="7353" priority="9382" operator="between">
      <formula>0.76</formula>
      <formula>0.95</formula>
    </cfRule>
    <cfRule type="cellIs" dxfId="7352" priority="9383" operator="between">
      <formula>0.51</formula>
      <formula>0.75</formula>
    </cfRule>
    <cfRule type="cellIs" dxfId="7351" priority="9384" operator="greaterThan">
      <formula>1</formula>
    </cfRule>
    <cfRule type="cellIs" dxfId="7350" priority="9385" operator="between">
      <formula>0.95</formula>
      <formula>1</formula>
    </cfRule>
    <cfRule type="cellIs" dxfId="7349" priority="9386" stopIfTrue="1" operator="between">
      <formula>0</formula>
      <formula>0.5</formula>
    </cfRule>
  </conditionalFormatting>
  <conditionalFormatting sqref="Q80">
    <cfRule type="cellIs" dxfId="7348" priority="9377" operator="between">
      <formula>0.76</formula>
      <formula>0.95</formula>
    </cfRule>
    <cfRule type="cellIs" dxfId="7347" priority="9378" operator="between">
      <formula>0.51</formula>
      <formula>0.75</formula>
    </cfRule>
    <cfRule type="cellIs" dxfId="7346" priority="9379" operator="greaterThan">
      <formula>1</formula>
    </cfRule>
    <cfRule type="cellIs" dxfId="7345" priority="9380" operator="between">
      <formula>0.95</formula>
      <formula>1</formula>
    </cfRule>
    <cfRule type="cellIs" dxfId="7344" priority="9381" stopIfTrue="1" operator="between">
      <formula>0</formula>
      <formula>0.5</formula>
    </cfRule>
  </conditionalFormatting>
  <conditionalFormatting sqref="Q81">
    <cfRule type="cellIs" dxfId="7343" priority="9372" operator="between">
      <formula>0.76</formula>
      <formula>0.95</formula>
    </cfRule>
    <cfRule type="cellIs" dxfId="7342" priority="9373" operator="between">
      <formula>0.51</formula>
      <formula>0.75</formula>
    </cfRule>
    <cfRule type="cellIs" dxfId="7341" priority="9374" operator="greaterThan">
      <formula>1</formula>
    </cfRule>
    <cfRule type="cellIs" dxfId="7340" priority="9375" operator="between">
      <formula>0.95</formula>
      <formula>1</formula>
    </cfRule>
    <cfRule type="cellIs" dxfId="7339" priority="9376" stopIfTrue="1" operator="between">
      <formula>0</formula>
      <formula>0.5</formula>
    </cfRule>
  </conditionalFormatting>
  <conditionalFormatting sqref="Q82">
    <cfRule type="cellIs" dxfId="7338" priority="9367" operator="between">
      <formula>0.76</formula>
      <formula>0.95</formula>
    </cfRule>
    <cfRule type="cellIs" dxfId="7337" priority="9368" operator="between">
      <formula>0.51</formula>
      <formula>0.75</formula>
    </cfRule>
    <cfRule type="cellIs" dxfId="7336" priority="9369" operator="greaterThan">
      <formula>1</formula>
    </cfRule>
    <cfRule type="cellIs" dxfId="7335" priority="9370" operator="between">
      <formula>0.95</formula>
      <formula>1</formula>
    </cfRule>
    <cfRule type="cellIs" dxfId="7334" priority="9371" stopIfTrue="1" operator="between">
      <formula>0</formula>
      <formula>0.5</formula>
    </cfRule>
  </conditionalFormatting>
  <conditionalFormatting sqref="Q83">
    <cfRule type="cellIs" dxfId="7333" priority="9357" operator="between">
      <formula>0.76</formula>
      <formula>0.95</formula>
    </cfRule>
    <cfRule type="cellIs" dxfId="7332" priority="9358" operator="between">
      <formula>0.51</formula>
      <formula>0.75</formula>
    </cfRule>
    <cfRule type="cellIs" dxfId="7331" priority="9359" operator="greaterThan">
      <formula>1</formula>
    </cfRule>
    <cfRule type="cellIs" dxfId="7330" priority="9360" operator="between">
      <formula>0.95</formula>
      <formula>1</formula>
    </cfRule>
    <cfRule type="cellIs" dxfId="7329" priority="9361" stopIfTrue="1" operator="between">
      <formula>0</formula>
      <formula>0.5</formula>
    </cfRule>
  </conditionalFormatting>
  <conditionalFormatting sqref="Q88">
    <cfRule type="cellIs" dxfId="7328" priority="9347" operator="between">
      <formula>0.76</formula>
      <formula>0.95</formula>
    </cfRule>
    <cfRule type="cellIs" dxfId="7327" priority="9348" operator="between">
      <formula>0.51</formula>
      <formula>0.75</formula>
    </cfRule>
    <cfRule type="cellIs" dxfId="7326" priority="9349" operator="greaterThan">
      <formula>1</formula>
    </cfRule>
    <cfRule type="cellIs" dxfId="7325" priority="9350" operator="between">
      <formula>0.95</formula>
      <formula>1</formula>
    </cfRule>
    <cfRule type="cellIs" dxfId="7324" priority="9351" stopIfTrue="1" operator="between">
      <formula>0</formula>
      <formula>0.5</formula>
    </cfRule>
  </conditionalFormatting>
  <conditionalFormatting sqref="Q91">
    <cfRule type="cellIs" dxfId="7323" priority="9342" operator="between">
      <formula>0.76</formula>
      <formula>0.95</formula>
    </cfRule>
    <cfRule type="cellIs" dxfId="7322" priority="9343" operator="between">
      <formula>0.51</formula>
      <formula>0.75</formula>
    </cfRule>
    <cfRule type="cellIs" dxfId="7321" priority="9344" operator="greaterThan">
      <formula>1</formula>
    </cfRule>
    <cfRule type="cellIs" dxfId="7320" priority="9345" operator="between">
      <formula>0.95</formula>
      <formula>1</formula>
    </cfRule>
    <cfRule type="cellIs" dxfId="7319" priority="9346" stopIfTrue="1" operator="between">
      <formula>0</formula>
      <formula>0.5</formula>
    </cfRule>
  </conditionalFormatting>
  <conditionalFormatting sqref="Q92">
    <cfRule type="cellIs" dxfId="7318" priority="9337" operator="between">
      <formula>0.76</formula>
      <formula>0.95</formula>
    </cfRule>
    <cfRule type="cellIs" dxfId="7317" priority="9338" operator="between">
      <formula>0.51</formula>
      <formula>0.75</formula>
    </cfRule>
    <cfRule type="cellIs" dxfId="7316" priority="9339" operator="greaterThan">
      <formula>1</formula>
    </cfRule>
    <cfRule type="cellIs" dxfId="7315" priority="9340" operator="between">
      <formula>0.95</formula>
      <formula>1</formula>
    </cfRule>
    <cfRule type="cellIs" dxfId="7314" priority="9341" stopIfTrue="1" operator="between">
      <formula>0</formula>
      <formula>0.5</formula>
    </cfRule>
  </conditionalFormatting>
  <conditionalFormatting sqref="Q93">
    <cfRule type="cellIs" dxfId="7313" priority="9332" operator="between">
      <formula>0.76</formula>
      <formula>0.95</formula>
    </cfRule>
    <cfRule type="cellIs" dxfId="7312" priority="9333" operator="between">
      <formula>0.51</formula>
      <formula>0.75</formula>
    </cfRule>
    <cfRule type="cellIs" dxfId="7311" priority="9334" operator="greaterThan">
      <formula>1</formula>
    </cfRule>
    <cfRule type="cellIs" dxfId="7310" priority="9335" operator="between">
      <formula>0.95</formula>
      <formula>1</formula>
    </cfRule>
    <cfRule type="cellIs" dxfId="7309" priority="9336" stopIfTrue="1" operator="between">
      <formula>0</formula>
      <formula>0.5</formula>
    </cfRule>
  </conditionalFormatting>
  <conditionalFormatting sqref="Q94">
    <cfRule type="cellIs" dxfId="7308" priority="9327" operator="between">
      <formula>0.76</formula>
      <formula>0.95</formula>
    </cfRule>
    <cfRule type="cellIs" dxfId="7307" priority="9328" operator="between">
      <formula>0.51</formula>
      <formula>0.75</formula>
    </cfRule>
    <cfRule type="cellIs" dxfId="7306" priority="9329" operator="greaterThan">
      <formula>1</formula>
    </cfRule>
    <cfRule type="cellIs" dxfId="7305" priority="9330" operator="between">
      <formula>0.95</formula>
      <formula>1</formula>
    </cfRule>
    <cfRule type="cellIs" dxfId="7304" priority="9331" stopIfTrue="1" operator="between">
      <formula>0</formula>
      <formula>0.5</formula>
    </cfRule>
  </conditionalFormatting>
  <conditionalFormatting sqref="Q95">
    <cfRule type="cellIs" dxfId="7303" priority="9322" operator="between">
      <formula>0.76</formula>
      <formula>0.95</formula>
    </cfRule>
    <cfRule type="cellIs" dxfId="7302" priority="9323" operator="between">
      <formula>0.51</formula>
      <formula>0.75</formula>
    </cfRule>
    <cfRule type="cellIs" dxfId="7301" priority="9324" operator="greaterThan">
      <formula>1</formula>
    </cfRule>
    <cfRule type="cellIs" dxfId="7300" priority="9325" operator="between">
      <formula>0.95</formula>
      <formula>1</formula>
    </cfRule>
    <cfRule type="cellIs" dxfId="7299" priority="9326" stopIfTrue="1" operator="between">
      <formula>0</formula>
      <formula>0.5</formula>
    </cfRule>
  </conditionalFormatting>
  <conditionalFormatting sqref="Q96">
    <cfRule type="cellIs" dxfId="7298" priority="9317" operator="between">
      <formula>0.76</formula>
      <formula>0.95</formula>
    </cfRule>
    <cfRule type="cellIs" dxfId="7297" priority="9318" operator="between">
      <formula>0.51</formula>
      <formula>0.75</formula>
    </cfRule>
    <cfRule type="cellIs" dxfId="7296" priority="9319" operator="greaterThan">
      <formula>1</formula>
    </cfRule>
    <cfRule type="cellIs" dxfId="7295" priority="9320" operator="between">
      <formula>0.95</formula>
      <formula>1</formula>
    </cfRule>
    <cfRule type="cellIs" dxfId="7294" priority="9321" stopIfTrue="1" operator="between">
      <formula>0</formula>
      <formula>0.5</formula>
    </cfRule>
  </conditionalFormatting>
  <conditionalFormatting sqref="Q98">
    <cfRule type="cellIs" dxfId="7293" priority="9312" operator="between">
      <formula>0.76</formula>
      <formula>0.95</formula>
    </cfRule>
    <cfRule type="cellIs" dxfId="7292" priority="9313" operator="between">
      <formula>0.51</formula>
      <formula>0.75</formula>
    </cfRule>
    <cfRule type="cellIs" dxfId="7291" priority="9314" operator="greaterThan">
      <formula>1</formula>
    </cfRule>
    <cfRule type="cellIs" dxfId="7290" priority="9315" operator="between">
      <formula>0.95</formula>
      <formula>1</formula>
    </cfRule>
    <cfRule type="cellIs" dxfId="7289" priority="9316" stopIfTrue="1" operator="between">
      <formula>0</formula>
      <formula>0.5</formula>
    </cfRule>
  </conditionalFormatting>
  <conditionalFormatting sqref="Q99">
    <cfRule type="cellIs" dxfId="7288" priority="9302" operator="between">
      <formula>0.76</formula>
      <formula>0.95</formula>
    </cfRule>
    <cfRule type="cellIs" dxfId="7287" priority="9303" operator="between">
      <formula>0.51</formula>
      <formula>0.75</formula>
    </cfRule>
    <cfRule type="cellIs" dxfId="7286" priority="9304" operator="greaterThan">
      <formula>1</formula>
    </cfRule>
    <cfRule type="cellIs" dxfId="7285" priority="9305" operator="between">
      <formula>0.95</formula>
      <formula>1</formula>
    </cfRule>
    <cfRule type="cellIs" dxfId="7284" priority="9306" stopIfTrue="1" operator="between">
      <formula>0</formula>
      <formula>0.5</formula>
    </cfRule>
  </conditionalFormatting>
  <conditionalFormatting sqref="Q101">
    <cfRule type="cellIs" dxfId="7283" priority="9292" operator="between">
      <formula>0.76</formula>
      <formula>0.95</formula>
    </cfRule>
    <cfRule type="cellIs" dxfId="7282" priority="9293" operator="between">
      <formula>0.51</formula>
      <formula>0.75</formula>
    </cfRule>
    <cfRule type="cellIs" dxfId="7281" priority="9294" operator="greaterThan">
      <formula>1</formula>
    </cfRule>
    <cfRule type="cellIs" dxfId="7280" priority="9295" operator="between">
      <formula>0.95</formula>
      <formula>1</formula>
    </cfRule>
    <cfRule type="cellIs" dxfId="7279" priority="9296" stopIfTrue="1" operator="between">
      <formula>0</formula>
      <formula>0.5</formula>
    </cfRule>
  </conditionalFormatting>
  <conditionalFormatting sqref="Q103">
    <cfRule type="cellIs" dxfId="7278" priority="9282" operator="between">
      <formula>0.76</formula>
      <formula>0.95</formula>
    </cfRule>
    <cfRule type="cellIs" dxfId="7277" priority="9283" operator="between">
      <formula>0.51</formula>
      <formula>0.75</formula>
    </cfRule>
    <cfRule type="cellIs" dxfId="7276" priority="9284" operator="greaterThan">
      <formula>1</formula>
    </cfRule>
    <cfRule type="cellIs" dxfId="7275" priority="9285" operator="between">
      <formula>0.95</formula>
      <formula>1</formula>
    </cfRule>
    <cfRule type="cellIs" dxfId="7274" priority="9286" stopIfTrue="1" operator="between">
      <formula>0</formula>
      <formula>0.5</formula>
    </cfRule>
  </conditionalFormatting>
  <conditionalFormatting sqref="Q104">
    <cfRule type="cellIs" dxfId="7273" priority="9277" operator="between">
      <formula>0.76</formula>
      <formula>0.95</formula>
    </cfRule>
    <cfRule type="cellIs" dxfId="7272" priority="9278" operator="between">
      <formula>0.51</formula>
      <formula>0.75</formula>
    </cfRule>
    <cfRule type="cellIs" dxfId="7271" priority="9279" operator="greaterThan">
      <formula>1</formula>
    </cfRule>
    <cfRule type="cellIs" dxfId="7270" priority="9280" operator="between">
      <formula>0.95</formula>
      <formula>1</formula>
    </cfRule>
    <cfRule type="cellIs" dxfId="7269" priority="9281" stopIfTrue="1" operator="between">
      <formula>0</formula>
      <formula>0.5</formula>
    </cfRule>
  </conditionalFormatting>
  <conditionalFormatting sqref="Q105">
    <cfRule type="cellIs" dxfId="7268" priority="9272" operator="between">
      <formula>0.76</formula>
      <formula>0.95</formula>
    </cfRule>
    <cfRule type="cellIs" dxfId="7267" priority="9273" operator="between">
      <formula>0.51</formula>
      <formula>0.75</formula>
    </cfRule>
    <cfRule type="cellIs" dxfId="7266" priority="9274" operator="greaterThan">
      <formula>1</formula>
    </cfRule>
    <cfRule type="cellIs" dxfId="7265" priority="9275" operator="between">
      <formula>0.95</formula>
      <formula>1</formula>
    </cfRule>
    <cfRule type="cellIs" dxfId="7264" priority="9276" stopIfTrue="1" operator="between">
      <formula>0</formula>
      <formula>0.5</formula>
    </cfRule>
  </conditionalFormatting>
  <conditionalFormatting sqref="Q106">
    <cfRule type="cellIs" dxfId="7263" priority="9267" operator="between">
      <formula>0.76</formula>
      <formula>0.95</formula>
    </cfRule>
    <cfRule type="cellIs" dxfId="7262" priority="9268" operator="between">
      <formula>0.51</formula>
      <formula>0.75</formula>
    </cfRule>
    <cfRule type="cellIs" dxfId="7261" priority="9269" operator="greaterThan">
      <formula>1</formula>
    </cfRule>
    <cfRule type="cellIs" dxfId="7260" priority="9270" operator="between">
      <formula>0.95</formula>
      <formula>1</formula>
    </cfRule>
    <cfRule type="cellIs" dxfId="7259" priority="9271" stopIfTrue="1" operator="between">
      <formula>0</formula>
      <formula>0.5</formula>
    </cfRule>
  </conditionalFormatting>
  <conditionalFormatting sqref="Q107">
    <cfRule type="cellIs" dxfId="7258" priority="9262" operator="between">
      <formula>0.76</formula>
      <formula>0.95</formula>
    </cfRule>
    <cfRule type="cellIs" dxfId="7257" priority="9263" operator="between">
      <formula>0.51</formula>
      <formula>0.75</formula>
    </cfRule>
    <cfRule type="cellIs" dxfId="7256" priority="9264" operator="greaterThan">
      <formula>1</formula>
    </cfRule>
    <cfRule type="cellIs" dxfId="7255" priority="9265" operator="between">
      <formula>0.95</formula>
      <formula>1</formula>
    </cfRule>
    <cfRule type="cellIs" dxfId="7254" priority="9266" stopIfTrue="1" operator="between">
      <formula>0</formula>
      <formula>0.5</formula>
    </cfRule>
  </conditionalFormatting>
  <conditionalFormatting sqref="Q108:Q109">
    <cfRule type="cellIs" dxfId="7253" priority="9257" operator="between">
      <formula>0.76</formula>
      <formula>0.95</formula>
    </cfRule>
    <cfRule type="cellIs" dxfId="7252" priority="9258" operator="between">
      <formula>0.51</formula>
      <formula>0.75</formula>
    </cfRule>
    <cfRule type="cellIs" dxfId="7251" priority="9259" operator="greaterThan">
      <formula>1</formula>
    </cfRule>
    <cfRule type="cellIs" dxfId="7250" priority="9260" operator="between">
      <formula>0.95</formula>
      <formula>1</formula>
    </cfRule>
    <cfRule type="cellIs" dxfId="7249" priority="9261" stopIfTrue="1" operator="between">
      <formula>0</formula>
      <formula>0.5</formula>
    </cfRule>
  </conditionalFormatting>
  <conditionalFormatting sqref="Q110">
    <cfRule type="cellIs" dxfId="7248" priority="9252" operator="between">
      <formula>0.76</formula>
      <formula>0.95</formula>
    </cfRule>
    <cfRule type="cellIs" dxfId="7247" priority="9253" operator="between">
      <formula>0.51</formula>
      <formula>0.75</formula>
    </cfRule>
    <cfRule type="cellIs" dxfId="7246" priority="9254" operator="greaterThan">
      <formula>1</formula>
    </cfRule>
    <cfRule type="cellIs" dxfId="7245" priority="9255" operator="between">
      <formula>0.95</formula>
      <formula>1</formula>
    </cfRule>
    <cfRule type="cellIs" dxfId="7244" priority="9256" stopIfTrue="1" operator="between">
      <formula>0</formula>
      <formula>0.5</formula>
    </cfRule>
  </conditionalFormatting>
  <conditionalFormatting sqref="Q111">
    <cfRule type="cellIs" dxfId="7243" priority="9247" operator="between">
      <formula>0.76</formula>
      <formula>0.95</formula>
    </cfRule>
    <cfRule type="cellIs" dxfId="7242" priority="9248" operator="between">
      <formula>0.51</formula>
      <formula>0.75</formula>
    </cfRule>
    <cfRule type="cellIs" dxfId="7241" priority="9249" operator="greaterThan">
      <formula>1</formula>
    </cfRule>
    <cfRule type="cellIs" dxfId="7240" priority="9250" operator="between">
      <formula>0.95</formula>
      <formula>1</formula>
    </cfRule>
    <cfRule type="cellIs" dxfId="7239" priority="9251" stopIfTrue="1" operator="between">
      <formula>0</formula>
      <formula>0.5</formula>
    </cfRule>
  </conditionalFormatting>
  <conditionalFormatting sqref="Q112">
    <cfRule type="cellIs" dxfId="7238" priority="9242" operator="between">
      <formula>0.76</formula>
      <formula>0.95</formula>
    </cfRule>
    <cfRule type="cellIs" dxfId="7237" priority="9243" operator="between">
      <formula>0.51</formula>
      <formula>0.75</formula>
    </cfRule>
    <cfRule type="cellIs" dxfId="7236" priority="9244" operator="greaterThan">
      <formula>1</formula>
    </cfRule>
    <cfRule type="cellIs" dxfId="7235" priority="9245" operator="between">
      <formula>0.95</formula>
      <formula>1</formula>
    </cfRule>
    <cfRule type="cellIs" dxfId="7234" priority="9246" stopIfTrue="1" operator="between">
      <formula>0</formula>
      <formula>0.5</formula>
    </cfRule>
  </conditionalFormatting>
  <conditionalFormatting sqref="Q113">
    <cfRule type="cellIs" dxfId="7233" priority="9237" operator="between">
      <formula>0.76</formula>
      <formula>0.95</formula>
    </cfRule>
    <cfRule type="cellIs" dxfId="7232" priority="9238" operator="between">
      <formula>0.51</formula>
      <formula>0.75</formula>
    </cfRule>
    <cfRule type="cellIs" dxfId="7231" priority="9239" operator="greaterThan">
      <formula>1</formula>
    </cfRule>
    <cfRule type="cellIs" dxfId="7230" priority="9240" operator="between">
      <formula>0.95</formula>
      <formula>1</formula>
    </cfRule>
    <cfRule type="cellIs" dxfId="7229" priority="9241" stopIfTrue="1" operator="between">
      <formula>0</formula>
      <formula>0.5</formula>
    </cfRule>
  </conditionalFormatting>
  <conditionalFormatting sqref="Q114">
    <cfRule type="cellIs" dxfId="7228" priority="9227" operator="between">
      <formula>0.76</formula>
      <formula>0.95</formula>
    </cfRule>
    <cfRule type="cellIs" dxfId="7227" priority="9228" operator="between">
      <formula>0.51</formula>
      <formula>0.75</formula>
    </cfRule>
    <cfRule type="cellIs" dxfId="7226" priority="9229" operator="greaterThan">
      <formula>1</formula>
    </cfRule>
    <cfRule type="cellIs" dxfId="7225" priority="9230" operator="between">
      <formula>0.95</formula>
      <formula>1</formula>
    </cfRule>
    <cfRule type="cellIs" dxfId="7224" priority="9231" stopIfTrue="1" operator="between">
      <formula>0</formula>
      <formula>0.5</formula>
    </cfRule>
  </conditionalFormatting>
  <conditionalFormatting sqref="Q115">
    <cfRule type="cellIs" dxfId="7223" priority="9222" operator="between">
      <formula>0.76</formula>
      <formula>0.95</formula>
    </cfRule>
    <cfRule type="cellIs" dxfId="7222" priority="9223" operator="between">
      <formula>0.51</formula>
      <formula>0.75</formula>
    </cfRule>
    <cfRule type="cellIs" dxfId="7221" priority="9224" operator="greaterThan">
      <formula>1</formula>
    </cfRule>
    <cfRule type="cellIs" dxfId="7220" priority="9225" operator="between">
      <formula>0.95</formula>
      <formula>1</formula>
    </cfRule>
    <cfRule type="cellIs" dxfId="7219" priority="9226" stopIfTrue="1" operator="between">
      <formula>0</formula>
      <formula>0.5</formula>
    </cfRule>
  </conditionalFormatting>
  <conditionalFormatting sqref="Q116">
    <cfRule type="cellIs" dxfId="7218" priority="9217" operator="between">
      <formula>0.76</formula>
      <formula>0.95</formula>
    </cfRule>
    <cfRule type="cellIs" dxfId="7217" priority="9218" operator="between">
      <formula>0.51</formula>
      <formula>0.75</formula>
    </cfRule>
    <cfRule type="cellIs" dxfId="7216" priority="9219" operator="greaterThan">
      <formula>1</formula>
    </cfRule>
    <cfRule type="cellIs" dxfId="7215" priority="9220" operator="between">
      <formula>0.95</formula>
      <formula>1</formula>
    </cfRule>
    <cfRule type="cellIs" dxfId="7214" priority="9221" stopIfTrue="1" operator="between">
      <formula>0</formula>
      <formula>0.5</formula>
    </cfRule>
  </conditionalFormatting>
  <conditionalFormatting sqref="Q117">
    <cfRule type="cellIs" dxfId="7213" priority="9212" operator="between">
      <formula>0.76</formula>
      <formula>0.95</formula>
    </cfRule>
    <cfRule type="cellIs" dxfId="7212" priority="9213" operator="between">
      <formula>0.51</formula>
      <formula>0.75</formula>
    </cfRule>
    <cfRule type="cellIs" dxfId="7211" priority="9214" operator="greaterThan">
      <formula>1</formula>
    </cfRule>
    <cfRule type="cellIs" dxfId="7210" priority="9215" operator="between">
      <formula>0.95</formula>
      <formula>1</formula>
    </cfRule>
    <cfRule type="cellIs" dxfId="7209" priority="9216" stopIfTrue="1" operator="between">
      <formula>0</formula>
      <formula>0.5</formula>
    </cfRule>
  </conditionalFormatting>
  <conditionalFormatting sqref="Q118">
    <cfRule type="cellIs" dxfId="7208" priority="9207" operator="between">
      <formula>0.76</formula>
      <formula>0.95</formula>
    </cfRule>
    <cfRule type="cellIs" dxfId="7207" priority="9208" operator="between">
      <formula>0.51</formula>
      <formula>0.75</formula>
    </cfRule>
    <cfRule type="cellIs" dxfId="7206" priority="9209" operator="greaterThan">
      <formula>1</formula>
    </cfRule>
    <cfRule type="cellIs" dxfId="7205" priority="9210" operator="between">
      <formula>0.95</formula>
      <formula>1</formula>
    </cfRule>
    <cfRule type="cellIs" dxfId="7204" priority="9211" stopIfTrue="1" operator="between">
      <formula>0</formula>
      <formula>0.5</formula>
    </cfRule>
  </conditionalFormatting>
  <conditionalFormatting sqref="Q119">
    <cfRule type="cellIs" dxfId="7203" priority="9202" operator="between">
      <formula>0.76</formula>
      <formula>0.95</formula>
    </cfRule>
    <cfRule type="cellIs" dxfId="7202" priority="9203" operator="between">
      <formula>0.51</formula>
      <formula>0.75</formula>
    </cfRule>
    <cfRule type="cellIs" dxfId="7201" priority="9204" operator="greaterThan">
      <formula>1</formula>
    </cfRule>
    <cfRule type="cellIs" dxfId="7200" priority="9205" operator="between">
      <formula>0.95</formula>
      <formula>1</formula>
    </cfRule>
    <cfRule type="cellIs" dxfId="7199" priority="9206" stopIfTrue="1" operator="between">
      <formula>0</formula>
      <formula>0.5</formula>
    </cfRule>
  </conditionalFormatting>
  <conditionalFormatting sqref="Q120">
    <cfRule type="cellIs" dxfId="7198" priority="9197" operator="between">
      <formula>0.76</formula>
      <formula>0.95</formula>
    </cfRule>
    <cfRule type="cellIs" dxfId="7197" priority="9198" operator="between">
      <formula>0.51</formula>
      <formula>0.75</formula>
    </cfRule>
    <cfRule type="cellIs" dxfId="7196" priority="9199" operator="greaterThan">
      <formula>1</formula>
    </cfRule>
    <cfRule type="cellIs" dxfId="7195" priority="9200" operator="between">
      <formula>0.95</formula>
      <formula>1</formula>
    </cfRule>
    <cfRule type="cellIs" dxfId="7194" priority="9201" stopIfTrue="1" operator="between">
      <formula>0</formula>
      <formula>0.5</formula>
    </cfRule>
  </conditionalFormatting>
  <conditionalFormatting sqref="Q121">
    <cfRule type="cellIs" dxfId="7193" priority="9192" operator="between">
      <formula>0.76</formula>
      <formula>0.95</formula>
    </cfRule>
    <cfRule type="cellIs" dxfId="7192" priority="9193" operator="between">
      <formula>0.51</formula>
      <formula>0.75</formula>
    </cfRule>
    <cfRule type="cellIs" dxfId="7191" priority="9194" operator="greaterThan">
      <formula>1</formula>
    </cfRule>
    <cfRule type="cellIs" dxfId="7190" priority="9195" operator="between">
      <formula>0.95</formula>
      <formula>1</formula>
    </cfRule>
    <cfRule type="cellIs" dxfId="7189" priority="9196" stopIfTrue="1" operator="between">
      <formula>0</formula>
      <formula>0.5</formula>
    </cfRule>
  </conditionalFormatting>
  <conditionalFormatting sqref="Q122">
    <cfRule type="cellIs" dxfId="7188" priority="9187" operator="between">
      <formula>0.76</formula>
      <formula>0.95</formula>
    </cfRule>
    <cfRule type="cellIs" dxfId="7187" priority="9188" operator="between">
      <formula>0.51</formula>
      <formula>0.75</formula>
    </cfRule>
    <cfRule type="cellIs" dxfId="7186" priority="9189" operator="greaterThan">
      <formula>1</formula>
    </cfRule>
    <cfRule type="cellIs" dxfId="7185" priority="9190" operator="between">
      <formula>0.95</formula>
      <formula>1</formula>
    </cfRule>
    <cfRule type="cellIs" dxfId="7184" priority="9191" stopIfTrue="1" operator="between">
      <formula>0</formula>
      <formula>0.5</formula>
    </cfRule>
  </conditionalFormatting>
  <conditionalFormatting sqref="Q123">
    <cfRule type="cellIs" dxfId="7183" priority="9182" operator="between">
      <formula>0.76</formula>
      <formula>0.95</formula>
    </cfRule>
    <cfRule type="cellIs" dxfId="7182" priority="9183" operator="between">
      <formula>0.51</formula>
      <formula>0.75</formula>
    </cfRule>
    <cfRule type="cellIs" dxfId="7181" priority="9184" operator="greaterThan">
      <formula>1</formula>
    </cfRule>
    <cfRule type="cellIs" dxfId="7180" priority="9185" operator="between">
      <formula>0.95</formula>
      <formula>1</formula>
    </cfRule>
    <cfRule type="cellIs" dxfId="7179" priority="9186" stopIfTrue="1" operator="between">
      <formula>0</formula>
      <formula>0.5</formula>
    </cfRule>
  </conditionalFormatting>
  <conditionalFormatting sqref="Q124">
    <cfRule type="cellIs" dxfId="7178" priority="9177" operator="between">
      <formula>0.76</formula>
      <formula>0.95</formula>
    </cfRule>
    <cfRule type="cellIs" dxfId="7177" priority="9178" operator="between">
      <formula>0.51</formula>
      <formula>0.75</formula>
    </cfRule>
    <cfRule type="cellIs" dxfId="7176" priority="9179" operator="greaterThan">
      <formula>1</formula>
    </cfRule>
    <cfRule type="cellIs" dxfId="7175" priority="9180" operator="between">
      <formula>0.95</formula>
      <formula>1</formula>
    </cfRule>
    <cfRule type="cellIs" dxfId="7174" priority="9181" stopIfTrue="1" operator="between">
      <formula>0</formula>
      <formula>0.5</formula>
    </cfRule>
  </conditionalFormatting>
  <conditionalFormatting sqref="Q125">
    <cfRule type="cellIs" dxfId="7173" priority="9172" operator="between">
      <formula>0.76</formula>
      <formula>0.95</formula>
    </cfRule>
    <cfRule type="cellIs" dxfId="7172" priority="9173" operator="between">
      <formula>0.51</formula>
      <formula>0.75</formula>
    </cfRule>
    <cfRule type="cellIs" dxfId="7171" priority="9174" operator="greaterThan">
      <formula>1</formula>
    </cfRule>
    <cfRule type="cellIs" dxfId="7170" priority="9175" operator="between">
      <formula>0.95</formula>
      <formula>1</formula>
    </cfRule>
    <cfRule type="cellIs" dxfId="7169" priority="9176" stopIfTrue="1" operator="between">
      <formula>0</formula>
      <formula>0.5</formula>
    </cfRule>
  </conditionalFormatting>
  <conditionalFormatting sqref="Q126">
    <cfRule type="cellIs" dxfId="7168" priority="9167" operator="between">
      <formula>0.76</formula>
      <formula>0.95</formula>
    </cfRule>
    <cfRule type="cellIs" dxfId="7167" priority="9168" operator="between">
      <formula>0.51</formula>
      <formula>0.75</formula>
    </cfRule>
    <cfRule type="cellIs" dxfId="7166" priority="9169" operator="greaterThan">
      <formula>1</formula>
    </cfRule>
    <cfRule type="cellIs" dxfId="7165" priority="9170" operator="between">
      <formula>0.95</formula>
      <formula>1</formula>
    </cfRule>
    <cfRule type="cellIs" dxfId="7164" priority="9171" stopIfTrue="1" operator="between">
      <formula>0</formula>
      <formula>0.5</formula>
    </cfRule>
  </conditionalFormatting>
  <conditionalFormatting sqref="Q127">
    <cfRule type="cellIs" dxfId="7163" priority="9162" operator="between">
      <formula>0.76</formula>
      <formula>0.95</formula>
    </cfRule>
    <cfRule type="cellIs" dxfId="7162" priority="9163" operator="between">
      <formula>0.51</formula>
      <formula>0.75</formula>
    </cfRule>
    <cfRule type="cellIs" dxfId="7161" priority="9164" operator="greaterThan">
      <formula>1</formula>
    </cfRule>
    <cfRule type="cellIs" dxfId="7160" priority="9165" operator="between">
      <formula>0.95</formula>
      <formula>1</formula>
    </cfRule>
    <cfRule type="cellIs" dxfId="7159" priority="9166" stopIfTrue="1" operator="between">
      <formula>0</formula>
      <formula>0.5</formula>
    </cfRule>
  </conditionalFormatting>
  <conditionalFormatting sqref="Q128">
    <cfRule type="cellIs" dxfId="7158" priority="9157" operator="between">
      <formula>0.76</formula>
      <formula>0.95</formula>
    </cfRule>
    <cfRule type="cellIs" dxfId="7157" priority="9158" operator="between">
      <formula>0.51</formula>
      <formula>0.75</formula>
    </cfRule>
    <cfRule type="cellIs" dxfId="7156" priority="9159" operator="greaterThan">
      <formula>1</formula>
    </cfRule>
    <cfRule type="cellIs" dxfId="7155" priority="9160" operator="between">
      <formula>0.95</formula>
      <formula>1</formula>
    </cfRule>
    <cfRule type="cellIs" dxfId="7154" priority="9161" stopIfTrue="1" operator="between">
      <formula>0</formula>
      <formula>0.5</formula>
    </cfRule>
  </conditionalFormatting>
  <conditionalFormatting sqref="Q129">
    <cfRule type="cellIs" dxfId="7153" priority="9152" operator="between">
      <formula>0.76</formula>
      <formula>0.95</formula>
    </cfRule>
    <cfRule type="cellIs" dxfId="7152" priority="9153" operator="between">
      <formula>0.51</formula>
      <formula>0.75</formula>
    </cfRule>
    <cfRule type="cellIs" dxfId="7151" priority="9154" operator="greaterThan">
      <formula>1</formula>
    </cfRule>
    <cfRule type="cellIs" dxfId="7150" priority="9155" operator="between">
      <formula>0.95</formula>
      <formula>1</formula>
    </cfRule>
    <cfRule type="cellIs" dxfId="7149" priority="9156" stopIfTrue="1" operator="between">
      <formula>0</formula>
      <formula>0.5</formula>
    </cfRule>
  </conditionalFormatting>
  <conditionalFormatting sqref="Q130">
    <cfRule type="cellIs" dxfId="7148" priority="9147" operator="between">
      <formula>0.76</formula>
      <formula>0.95</formula>
    </cfRule>
    <cfRule type="cellIs" dxfId="7147" priority="9148" operator="between">
      <formula>0.51</formula>
      <formula>0.75</formula>
    </cfRule>
    <cfRule type="cellIs" dxfId="7146" priority="9149" operator="greaterThan">
      <formula>1</formula>
    </cfRule>
    <cfRule type="cellIs" dxfId="7145" priority="9150" operator="between">
      <formula>0.95</formula>
      <formula>1</formula>
    </cfRule>
    <cfRule type="cellIs" dxfId="7144" priority="9151" stopIfTrue="1" operator="between">
      <formula>0</formula>
      <formula>0.5</formula>
    </cfRule>
  </conditionalFormatting>
  <conditionalFormatting sqref="Q131">
    <cfRule type="cellIs" dxfId="7143" priority="9142" operator="between">
      <formula>0.76</formula>
      <formula>0.95</formula>
    </cfRule>
    <cfRule type="cellIs" dxfId="7142" priority="9143" operator="between">
      <formula>0.51</formula>
      <formula>0.75</formula>
    </cfRule>
    <cfRule type="cellIs" dxfId="7141" priority="9144" operator="greaterThan">
      <formula>1</formula>
    </cfRule>
    <cfRule type="cellIs" dxfId="7140" priority="9145" operator="between">
      <formula>0.95</formula>
      <formula>1</formula>
    </cfRule>
    <cfRule type="cellIs" dxfId="7139" priority="9146" stopIfTrue="1" operator="between">
      <formula>0</formula>
      <formula>0.5</formula>
    </cfRule>
  </conditionalFormatting>
  <conditionalFormatting sqref="Q132">
    <cfRule type="cellIs" dxfId="7138" priority="9137" operator="between">
      <formula>0.76</formula>
      <formula>0.95</formula>
    </cfRule>
    <cfRule type="cellIs" dxfId="7137" priority="9138" operator="between">
      <formula>0.51</formula>
      <formula>0.75</formula>
    </cfRule>
    <cfRule type="cellIs" dxfId="7136" priority="9139" operator="greaterThan">
      <formula>1</formula>
    </cfRule>
    <cfRule type="cellIs" dxfId="7135" priority="9140" operator="between">
      <formula>0.95</formula>
      <formula>1</formula>
    </cfRule>
    <cfRule type="cellIs" dxfId="7134" priority="9141" stopIfTrue="1" operator="between">
      <formula>0</formula>
      <formula>0.5</formula>
    </cfRule>
  </conditionalFormatting>
  <conditionalFormatting sqref="Q133">
    <cfRule type="cellIs" dxfId="7133" priority="9132" operator="between">
      <formula>0.76</formula>
      <formula>0.95</formula>
    </cfRule>
    <cfRule type="cellIs" dxfId="7132" priority="9133" operator="between">
      <formula>0.51</formula>
      <formula>0.75</formula>
    </cfRule>
    <cfRule type="cellIs" dxfId="7131" priority="9134" operator="greaterThan">
      <formula>1</formula>
    </cfRule>
    <cfRule type="cellIs" dxfId="7130" priority="9135" operator="between">
      <formula>0.95</formula>
      <formula>1</formula>
    </cfRule>
    <cfRule type="cellIs" dxfId="7129" priority="9136" stopIfTrue="1" operator="between">
      <formula>0</formula>
      <formula>0.5</formula>
    </cfRule>
  </conditionalFormatting>
  <conditionalFormatting sqref="Q134">
    <cfRule type="cellIs" dxfId="7128" priority="9127" operator="between">
      <formula>0.76</formula>
      <formula>0.95</formula>
    </cfRule>
    <cfRule type="cellIs" dxfId="7127" priority="9128" operator="between">
      <formula>0.51</formula>
      <formula>0.75</formula>
    </cfRule>
    <cfRule type="cellIs" dxfId="7126" priority="9129" operator="greaterThan">
      <formula>1</formula>
    </cfRule>
    <cfRule type="cellIs" dxfId="7125" priority="9130" operator="between">
      <formula>0.95</formula>
      <formula>1</formula>
    </cfRule>
    <cfRule type="cellIs" dxfId="7124" priority="9131" stopIfTrue="1" operator="between">
      <formula>0</formula>
      <formula>0.5</formula>
    </cfRule>
  </conditionalFormatting>
  <conditionalFormatting sqref="Q136">
    <cfRule type="cellIs" dxfId="7123" priority="9122" operator="between">
      <formula>0.76</formula>
      <formula>0.95</formula>
    </cfRule>
    <cfRule type="cellIs" dxfId="7122" priority="9123" operator="between">
      <formula>0.51</formula>
      <formula>0.75</formula>
    </cfRule>
    <cfRule type="cellIs" dxfId="7121" priority="9124" operator="greaterThan">
      <formula>1</formula>
    </cfRule>
    <cfRule type="cellIs" dxfId="7120" priority="9125" operator="between">
      <formula>0.95</formula>
      <formula>1</formula>
    </cfRule>
    <cfRule type="cellIs" dxfId="7119" priority="9126" stopIfTrue="1" operator="between">
      <formula>0</formula>
      <formula>0.5</formula>
    </cfRule>
  </conditionalFormatting>
  <conditionalFormatting sqref="Q137">
    <cfRule type="cellIs" dxfId="7118" priority="9117" operator="between">
      <formula>0.76</formula>
      <formula>0.95</formula>
    </cfRule>
    <cfRule type="cellIs" dxfId="7117" priority="9118" operator="between">
      <formula>0.51</formula>
      <formula>0.75</formula>
    </cfRule>
    <cfRule type="cellIs" dxfId="7116" priority="9119" operator="greaterThan">
      <formula>1</formula>
    </cfRule>
    <cfRule type="cellIs" dxfId="7115" priority="9120" operator="between">
      <formula>0.95</formula>
      <formula>1</formula>
    </cfRule>
    <cfRule type="cellIs" dxfId="7114" priority="9121" stopIfTrue="1" operator="between">
      <formula>0</formula>
      <formula>0.5</formula>
    </cfRule>
  </conditionalFormatting>
  <conditionalFormatting sqref="Q138">
    <cfRule type="cellIs" dxfId="7113" priority="9112" operator="between">
      <formula>0.76</formula>
      <formula>0.95</formula>
    </cfRule>
    <cfRule type="cellIs" dxfId="7112" priority="9113" operator="between">
      <formula>0.51</formula>
      <formula>0.75</formula>
    </cfRule>
    <cfRule type="cellIs" dxfId="7111" priority="9114" operator="greaterThan">
      <formula>1</formula>
    </cfRule>
    <cfRule type="cellIs" dxfId="7110" priority="9115" operator="between">
      <formula>0.95</formula>
      <formula>1</formula>
    </cfRule>
    <cfRule type="cellIs" dxfId="7109" priority="9116" stopIfTrue="1" operator="between">
      <formula>0</formula>
      <formula>0.5</formula>
    </cfRule>
  </conditionalFormatting>
  <conditionalFormatting sqref="Q139">
    <cfRule type="cellIs" dxfId="7108" priority="9107" operator="between">
      <formula>0.76</formula>
      <formula>0.95</formula>
    </cfRule>
    <cfRule type="cellIs" dxfId="7107" priority="9108" operator="between">
      <formula>0.51</formula>
      <formula>0.75</formula>
    </cfRule>
    <cfRule type="cellIs" dxfId="7106" priority="9109" operator="greaterThan">
      <formula>1</formula>
    </cfRule>
    <cfRule type="cellIs" dxfId="7105" priority="9110" operator="between">
      <formula>0.95</formula>
      <formula>1</formula>
    </cfRule>
    <cfRule type="cellIs" dxfId="7104" priority="9111" stopIfTrue="1" operator="between">
      <formula>0</formula>
      <formula>0.5</formula>
    </cfRule>
  </conditionalFormatting>
  <conditionalFormatting sqref="Q140">
    <cfRule type="cellIs" dxfId="7103" priority="9102" operator="between">
      <formula>0.76</formula>
      <formula>0.95</formula>
    </cfRule>
    <cfRule type="cellIs" dxfId="7102" priority="9103" operator="between">
      <formula>0.51</formula>
      <formula>0.75</formula>
    </cfRule>
    <cfRule type="cellIs" dxfId="7101" priority="9104" operator="greaterThan">
      <formula>1</formula>
    </cfRule>
    <cfRule type="cellIs" dxfId="7100" priority="9105" operator="between">
      <formula>0.95</formula>
      <formula>1</formula>
    </cfRule>
    <cfRule type="cellIs" dxfId="7099" priority="9106" stopIfTrue="1" operator="between">
      <formula>0</formula>
      <formula>0.5</formula>
    </cfRule>
  </conditionalFormatting>
  <conditionalFormatting sqref="Q141">
    <cfRule type="cellIs" dxfId="7098" priority="9097" operator="between">
      <formula>0.76</formula>
      <formula>0.95</formula>
    </cfRule>
    <cfRule type="cellIs" dxfId="7097" priority="9098" operator="between">
      <formula>0.51</formula>
      <formula>0.75</formula>
    </cfRule>
    <cfRule type="cellIs" dxfId="7096" priority="9099" operator="greaterThan">
      <formula>1</formula>
    </cfRule>
    <cfRule type="cellIs" dxfId="7095" priority="9100" operator="between">
      <formula>0.95</formula>
      <formula>1</formula>
    </cfRule>
    <cfRule type="cellIs" dxfId="7094" priority="9101" stopIfTrue="1" operator="between">
      <formula>0</formula>
      <formula>0.5</formula>
    </cfRule>
  </conditionalFormatting>
  <conditionalFormatting sqref="Q142">
    <cfRule type="cellIs" dxfId="7093" priority="9092" operator="between">
      <formula>0.76</formula>
      <formula>0.95</formula>
    </cfRule>
    <cfRule type="cellIs" dxfId="7092" priority="9093" operator="between">
      <formula>0.51</formula>
      <formula>0.75</formula>
    </cfRule>
    <cfRule type="cellIs" dxfId="7091" priority="9094" operator="greaterThan">
      <formula>1</formula>
    </cfRule>
    <cfRule type="cellIs" dxfId="7090" priority="9095" operator="between">
      <formula>0.95</formula>
      <formula>1</formula>
    </cfRule>
    <cfRule type="cellIs" dxfId="7089" priority="9096" stopIfTrue="1" operator="between">
      <formula>0</formula>
      <formula>0.5</formula>
    </cfRule>
  </conditionalFormatting>
  <conditionalFormatting sqref="Q144">
    <cfRule type="cellIs" dxfId="7088" priority="9087" operator="between">
      <formula>0.76</formula>
      <formula>0.95</formula>
    </cfRule>
    <cfRule type="cellIs" dxfId="7087" priority="9088" operator="between">
      <formula>0.51</formula>
      <formula>0.75</formula>
    </cfRule>
    <cfRule type="cellIs" dxfId="7086" priority="9089" operator="greaterThan">
      <formula>1</formula>
    </cfRule>
    <cfRule type="cellIs" dxfId="7085" priority="9090" operator="between">
      <formula>0.95</formula>
      <formula>1</formula>
    </cfRule>
    <cfRule type="cellIs" dxfId="7084" priority="9091" stopIfTrue="1" operator="between">
      <formula>0</formula>
      <formula>0.5</formula>
    </cfRule>
  </conditionalFormatting>
  <conditionalFormatting sqref="Q143">
    <cfRule type="cellIs" dxfId="7083" priority="9082" operator="between">
      <formula>0.76</formula>
      <formula>0.95</formula>
    </cfRule>
    <cfRule type="cellIs" dxfId="7082" priority="9083" operator="between">
      <formula>0.51</formula>
      <formula>0.75</formula>
    </cfRule>
    <cfRule type="cellIs" dxfId="7081" priority="9084" operator="greaterThan">
      <formula>1</formula>
    </cfRule>
    <cfRule type="cellIs" dxfId="7080" priority="9085" operator="between">
      <formula>0.95</formula>
      <formula>1</formula>
    </cfRule>
    <cfRule type="cellIs" dxfId="7079" priority="9086" stopIfTrue="1" operator="between">
      <formula>0</formula>
      <formula>0.5</formula>
    </cfRule>
  </conditionalFormatting>
  <conditionalFormatting sqref="Q145">
    <cfRule type="cellIs" dxfId="7078" priority="9077" operator="between">
      <formula>0.76</formula>
      <formula>0.95</formula>
    </cfRule>
    <cfRule type="cellIs" dxfId="7077" priority="9078" operator="between">
      <formula>0.51</formula>
      <formula>0.75</formula>
    </cfRule>
    <cfRule type="cellIs" dxfId="7076" priority="9079" operator="greaterThan">
      <formula>1</formula>
    </cfRule>
    <cfRule type="cellIs" dxfId="7075" priority="9080" operator="between">
      <formula>0.95</formula>
      <formula>1</formula>
    </cfRule>
    <cfRule type="cellIs" dxfId="7074" priority="9081" stopIfTrue="1" operator="between">
      <formula>0</formula>
      <formula>0.5</formula>
    </cfRule>
  </conditionalFormatting>
  <conditionalFormatting sqref="Q146">
    <cfRule type="cellIs" dxfId="7073" priority="9072" operator="between">
      <formula>0.76</formula>
      <formula>0.95</formula>
    </cfRule>
    <cfRule type="cellIs" dxfId="7072" priority="9073" operator="between">
      <formula>0.51</formula>
      <formula>0.75</formula>
    </cfRule>
    <cfRule type="cellIs" dxfId="7071" priority="9074" operator="greaterThan">
      <formula>1</formula>
    </cfRule>
    <cfRule type="cellIs" dxfId="7070" priority="9075" operator="between">
      <formula>0.95</formula>
      <formula>1</formula>
    </cfRule>
    <cfRule type="cellIs" dxfId="7069" priority="9076" stopIfTrue="1" operator="between">
      <formula>0</formula>
      <formula>0.5</formula>
    </cfRule>
  </conditionalFormatting>
  <conditionalFormatting sqref="Q147">
    <cfRule type="cellIs" dxfId="7068" priority="9067" operator="between">
      <formula>0.76</formula>
      <formula>0.95</formula>
    </cfRule>
    <cfRule type="cellIs" dxfId="7067" priority="9068" operator="between">
      <formula>0.51</formula>
      <formula>0.75</formula>
    </cfRule>
    <cfRule type="cellIs" dxfId="7066" priority="9069" operator="greaterThan">
      <formula>1</formula>
    </cfRule>
    <cfRule type="cellIs" dxfId="7065" priority="9070" operator="between">
      <formula>0.95</formula>
      <formula>1</formula>
    </cfRule>
    <cfRule type="cellIs" dxfId="7064" priority="9071" stopIfTrue="1" operator="between">
      <formula>0</formula>
      <formula>0.5</formula>
    </cfRule>
  </conditionalFormatting>
  <conditionalFormatting sqref="Q148">
    <cfRule type="cellIs" dxfId="7063" priority="9062" operator="between">
      <formula>0.76</formula>
      <formula>0.95</formula>
    </cfRule>
    <cfRule type="cellIs" dxfId="7062" priority="9063" operator="between">
      <formula>0.51</formula>
      <formula>0.75</formula>
    </cfRule>
    <cfRule type="cellIs" dxfId="7061" priority="9064" operator="greaterThan">
      <formula>1</formula>
    </cfRule>
    <cfRule type="cellIs" dxfId="7060" priority="9065" operator="between">
      <formula>0.95</formula>
      <formula>1</formula>
    </cfRule>
    <cfRule type="cellIs" dxfId="7059" priority="9066" stopIfTrue="1" operator="between">
      <formula>0</formula>
      <formula>0.5</formula>
    </cfRule>
  </conditionalFormatting>
  <conditionalFormatting sqref="Q149">
    <cfRule type="cellIs" dxfId="7058" priority="9057" operator="between">
      <formula>0.76</formula>
      <formula>0.95</formula>
    </cfRule>
    <cfRule type="cellIs" dxfId="7057" priority="9058" operator="between">
      <formula>0.51</formula>
      <formula>0.75</formula>
    </cfRule>
    <cfRule type="cellIs" dxfId="7056" priority="9059" operator="greaterThan">
      <formula>1</formula>
    </cfRule>
    <cfRule type="cellIs" dxfId="7055" priority="9060" operator="between">
      <formula>0.95</formula>
      <formula>1</formula>
    </cfRule>
    <cfRule type="cellIs" dxfId="7054" priority="9061" stopIfTrue="1" operator="between">
      <formula>0</formula>
      <formula>0.5</formula>
    </cfRule>
  </conditionalFormatting>
  <conditionalFormatting sqref="Q150">
    <cfRule type="cellIs" dxfId="7053" priority="9052" operator="between">
      <formula>0.76</formula>
      <formula>0.95</formula>
    </cfRule>
    <cfRule type="cellIs" dxfId="7052" priority="9053" operator="between">
      <formula>0.51</formula>
      <formula>0.75</formula>
    </cfRule>
    <cfRule type="cellIs" dxfId="7051" priority="9054" operator="greaterThan">
      <formula>1</formula>
    </cfRule>
    <cfRule type="cellIs" dxfId="7050" priority="9055" operator="between">
      <formula>0.95</formula>
      <formula>1</formula>
    </cfRule>
    <cfRule type="cellIs" dxfId="7049" priority="9056" stopIfTrue="1" operator="between">
      <formula>0</formula>
      <formula>0.5</formula>
    </cfRule>
  </conditionalFormatting>
  <conditionalFormatting sqref="Q151">
    <cfRule type="cellIs" dxfId="7048" priority="9047" operator="between">
      <formula>0.76</formula>
      <formula>0.95</formula>
    </cfRule>
    <cfRule type="cellIs" dxfId="7047" priority="9048" operator="between">
      <formula>0.51</formula>
      <formula>0.75</formula>
    </cfRule>
    <cfRule type="cellIs" dxfId="7046" priority="9049" operator="greaterThan">
      <formula>1</formula>
    </cfRule>
    <cfRule type="cellIs" dxfId="7045" priority="9050" operator="between">
      <formula>0.95</formula>
      <formula>1</formula>
    </cfRule>
    <cfRule type="cellIs" dxfId="7044" priority="9051" stopIfTrue="1" operator="between">
      <formula>0</formula>
      <formula>0.5</formula>
    </cfRule>
  </conditionalFormatting>
  <conditionalFormatting sqref="Q152">
    <cfRule type="cellIs" dxfId="7043" priority="9042" operator="between">
      <formula>0.76</formula>
      <formula>0.95</formula>
    </cfRule>
    <cfRule type="cellIs" dxfId="7042" priority="9043" operator="between">
      <formula>0.51</formula>
      <formula>0.75</formula>
    </cfRule>
    <cfRule type="cellIs" dxfId="7041" priority="9044" operator="greaterThan">
      <formula>1</formula>
    </cfRule>
    <cfRule type="cellIs" dxfId="7040" priority="9045" operator="between">
      <formula>0.95</formula>
      <formula>1</formula>
    </cfRule>
    <cfRule type="cellIs" dxfId="7039" priority="9046" stopIfTrue="1" operator="between">
      <formula>0</formula>
      <formula>0.5</formula>
    </cfRule>
  </conditionalFormatting>
  <conditionalFormatting sqref="Q153">
    <cfRule type="cellIs" dxfId="7038" priority="9037" operator="between">
      <formula>0.76</formula>
      <formula>0.95</formula>
    </cfRule>
    <cfRule type="cellIs" dxfId="7037" priority="9038" operator="between">
      <formula>0.51</formula>
      <formula>0.75</formula>
    </cfRule>
    <cfRule type="cellIs" dxfId="7036" priority="9039" operator="greaterThan">
      <formula>1</formula>
    </cfRule>
    <cfRule type="cellIs" dxfId="7035" priority="9040" operator="between">
      <formula>0.95</formula>
      <formula>1</formula>
    </cfRule>
    <cfRule type="cellIs" dxfId="7034" priority="9041" stopIfTrue="1" operator="between">
      <formula>0</formula>
      <formula>0.5</formula>
    </cfRule>
  </conditionalFormatting>
  <conditionalFormatting sqref="Q154">
    <cfRule type="cellIs" dxfId="7033" priority="9032" operator="between">
      <formula>0.76</formula>
      <formula>0.95</formula>
    </cfRule>
    <cfRule type="cellIs" dxfId="7032" priority="9033" operator="between">
      <formula>0.51</formula>
      <formula>0.75</formula>
    </cfRule>
    <cfRule type="cellIs" dxfId="7031" priority="9034" operator="greaterThan">
      <formula>1</formula>
    </cfRule>
    <cfRule type="cellIs" dxfId="7030" priority="9035" operator="between">
      <formula>0.95</formula>
      <formula>1</formula>
    </cfRule>
    <cfRule type="cellIs" dxfId="7029" priority="9036" stopIfTrue="1" operator="between">
      <formula>0</formula>
      <formula>0.5</formula>
    </cfRule>
  </conditionalFormatting>
  <conditionalFormatting sqref="Q155">
    <cfRule type="cellIs" dxfId="7028" priority="9027" operator="between">
      <formula>0.76</formula>
      <formula>0.95</formula>
    </cfRule>
    <cfRule type="cellIs" dxfId="7027" priority="9028" operator="between">
      <formula>0.51</formula>
      <formula>0.75</formula>
    </cfRule>
    <cfRule type="cellIs" dxfId="7026" priority="9029" operator="greaterThan">
      <formula>1</formula>
    </cfRule>
    <cfRule type="cellIs" dxfId="7025" priority="9030" operator="between">
      <formula>0.95</formula>
      <formula>1</formula>
    </cfRule>
    <cfRule type="cellIs" dxfId="7024" priority="9031" stopIfTrue="1" operator="between">
      <formula>0</formula>
      <formula>0.5</formula>
    </cfRule>
  </conditionalFormatting>
  <conditionalFormatting sqref="Q156">
    <cfRule type="cellIs" dxfId="7023" priority="9022" operator="between">
      <formula>0.76</formula>
      <formula>0.95</formula>
    </cfRule>
    <cfRule type="cellIs" dxfId="7022" priority="9023" operator="between">
      <formula>0.51</formula>
      <formula>0.75</formula>
    </cfRule>
    <cfRule type="cellIs" dxfId="7021" priority="9024" operator="greaterThan">
      <formula>1</formula>
    </cfRule>
    <cfRule type="cellIs" dxfId="7020" priority="9025" operator="between">
      <formula>0.95</formula>
      <formula>1</formula>
    </cfRule>
    <cfRule type="cellIs" dxfId="7019" priority="9026" stopIfTrue="1" operator="between">
      <formula>0</formula>
      <formula>0.5</formula>
    </cfRule>
  </conditionalFormatting>
  <conditionalFormatting sqref="Q157">
    <cfRule type="cellIs" dxfId="7018" priority="9017" operator="between">
      <formula>0.76</formula>
      <formula>0.95</formula>
    </cfRule>
    <cfRule type="cellIs" dxfId="7017" priority="9018" operator="between">
      <formula>0.51</formula>
      <formula>0.75</formula>
    </cfRule>
    <cfRule type="cellIs" dxfId="7016" priority="9019" operator="greaterThan">
      <formula>1</formula>
    </cfRule>
    <cfRule type="cellIs" dxfId="7015" priority="9020" operator="between">
      <formula>0.95</formula>
      <formula>1</formula>
    </cfRule>
    <cfRule type="cellIs" dxfId="7014" priority="9021" stopIfTrue="1" operator="between">
      <formula>0</formula>
      <formula>0.5</formula>
    </cfRule>
  </conditionalFormatting>
  <conditionalFormatting sqref="Q158">
    <cfRule type="cellIs" dxfId="7013" priority="9012" operator="between">
      <formula>0.76</formula>
      <formula>0.95</formula>
    </cfRule>
    <cfRule type="cellIs" dxfId="7012" priority="9013" operator="between">
      <formula>0.51</formula>
      <formula>0.75</formula>
    </cfRule>
    <cfRule type="cellIs" dxfId="7011" priority="9014" operator="greaterThan">
      <formula>1</formula>
    </cfRule>
    <cfRule type="cellIs" dxfId="7010" priority="9015" operator="between">
      <formula>0.95</formula>
      <formula>1</formula>
    </cfRule>
    <cfRule type="cellIs" dxfId="7009" priority="9016" stopIfTrue="1" operator="between">
      <formula>0</formula>
      <formula>0.5</formula>
    </cfRule>
  </conditionalFormatting>
  <conditionalFormatting sqref="Q159">
    <cfRule type="cellIs" dxfId="7008" priority="9007" operator="between">
      <formula>0.76</formula>
      <formula>0.95</formula>
    </cfRule>
    <cfRule type="cellIs" dxfId="7007" priority="9008" operator="between">
      <formula>0.51</formula>
      <formula>0.75</formula>
    </cfRule>
    <cfRule type="cellIs" dxfId="7006" priority="9009" operator="greaterThan">
      <formula>1</formula>
    </cfRule>
    <cfRule type="cellIs" dxfId="7005" priority="9010" operator="between">
      <formula>0.95</formula>
      <formula>1</formula>
    </cfRule>
    <cfRule type="cellIs" dxfId="7004" priority="9011" stopIfTrue="1" operator="between">
      <formula>0</formula>
      <formula>0.5</formula>
    </cfRule>
  </conditionalFormatting>
  <conditionalFormatting sqref="Q160">
    <cfRule type="cellIs" dxfId="7003" priority="9002" operator="between">
      <formula>0.76</formula>
      <formula>0.95</formula>
    </cfRule>
    <cfRule type="cellIs" dxfId="7002" priority="9003" operator="between">
      <formula>0.51</formula>
      <formula>0.75</formula>
    </cfRule>
    <cfRule type="cellIs" dxfId="7001" priority="9004" operator="greaterThan">
      <formula>1</formula>
    </cfRule>
    <cfRule type="cellIs" dxfId="7000" priority="9005" operator="between">
      <formula>0.95</formula>
      <formula>1</formula>
    </cfRule>
    <cfRule type="cellIs" dxfId="6999" priority="9006" stopIfTrue="1" operator="between">
      <formula>0</formula>
      <formula>0.5</formula>
    </cfRule>
  </conditionalFormatting>
  <conditionalFormatting sqref="Q161">
    <cfRule type="cellIs" dxfId="6998" priority="8997" operator="between">
      <formula>0.76</formula>
      <formula>0.95</formula>
    </cfRule>
    <cfRule type="cellIs" dxfId="6997" priority="8998" operator="between">
      <formula>0.51</formula>
      <formula>0.75</formula>
    </cfRule>
    <cfRule type="cellIs" dxfId="6996" priority="8999" operator="greaterThan">
      <formula>1</formula>
    </cfRule>
    <cfRule type="cellIs" dxfId="6995" priority="9000" operator="between">
      <formula>0.95</formula>
      <formula>1</formula>
    </cfRule>
    <cfRule type="cellIs" dxfId="6994" priority="9001" stopIfTrue="1" operator="between">
      <formula>0</formula>
      <formula>0.5</formula>
    </cfRule>
  </conditionalFormatting>
  <conditionalFormatting sqref="Q162">
    <cfRule type="cellIs" dxfId="6993" priority="8992" operator="between">
      <formula>0.76</formula>
      <formula>0.95</formula>
    </cfRule>
    <cfRule type="cellIs" dxfId="6992" priority="8993" operator="between">
      <formula>0.51</formula>
      <formula>0.75</formula>
    </cfRule>
    <cfRule type="cellIs" dxfId="6991" priority="8994" operator="greaterThan">
      <formula>1</formula>
    </cfRule>
    <cfRule type="cellIs" dxfId="6990" priority="8995" operator="between">
      <formula>0.95</formula>
      <formula>1</formula>
    </cfRule>
    <cfRule type="cellIs" dxfId="6989" priority="8996" stopIfTrue="1" operator="between">
      <formula>0</formula>
      <formula>0.5</formula>
    </cfRule>
  </conditionalFormatting>
  <conditionalFormatting sqref="Q163">
    <cfRule type="cellIs" dxfId="6988" priority="8987" operator="between">
      <formula>0.76</formula>
      <formula>0.95</formula>
    </cfRule>
    <cfRule type="cellIs" dxfId="6987" priority="8988" operator="between">
      <formula>0.51</formula>
      <formula>0.75</formula>
    </cfRule>
    <cfRule type="cellIs" dxfId="6986" priority="8989" operator="greaterThan">
      <formula>1</formula>
    </cfRule>
    <cfRule type="cellIs" dxfId="6985" priority="8990" operator="between">
      <formula>0.95</formula>
      <formula>1</formula>
    </cfRule>
    <cfRule type="cellIs" dxfId="6984" priority="8991" stopIfTrue="1" operator="between">
      <formula>0</formula>
      <formula>0.5</formula>
    </cfRule>
  </conditionalFormatting>
  <conditionalFormatting sqref="Q164">
    <cfRule type="cellIs" dxfId="6983" priority="8982" operator="between">
      <formula>0.76</formula>
      <formula>0.95</formula>
    </cfRule>
    <cfRule type="cellIs" dxfId="6982" priority="8983" operator="between">
      <formula>0.51</formula>
      <formula>0.75</formula>
    </cfRule>
    <cfRule type="cellIs" dxfId="6981" priority="8984" operator="greaterThan">
      <formula>1</formula>
    </cfRule>
    <cfRule type="cellIs" dxfId="6980" priority="8985" operator="between">
      <formula>0.95</formula>
      <formula>1</formula>
    </cfRule>
    <cfRule type="cellIs" dxfId="6979" priority="8986" stopIfTrue="1" operator="between">
      <formula>0</formula>
      <formula>0.5</formula>
    </cfRule>
  </conditionalFormatting>
  <conditionalFormatting sqref="Q165">
    <cfRule type="cellIs" dxfId="6978" priority="8977" operator="between">
      <formula>0.76</formula>
      <formula>0.95</formula>
    </cfRule>
    <cfRule type="cellIs" dxfId="6977" priority="8978" operator="between">
      <formula>0.51</formula>
      <formula>0.75</formula>
    </cfRule>
    <cfRule type="cellIs" dxfId="6976" priority="8979" operator="greaterThan">
      <formula>1</formula>
    </cfRule>
    <cfRule type="cellIs" dxfId="6975" priority="8980" operator="between">
      <formula>0.95</formula>
      <formula>1</formula>
    </cfRule>
    <cfRule type="cellIs" dxfId="6974" priority="8981" stopIfTrue="1" operator="between">
      <formula>0</formula>
      <formula>0.5</formula>
    </cfRule>
  </conditionalFormatting>
  <conditionalFormatting sqref="Q166">
    <cfRule type="cellIs" dxfId="6973" priority="8972" operator="between">
      <formula>0.76</formula>
      <formula>0.95</formula>
    </cfRule>
    <cfRule type="cellIs" dxfId="6972" priority="8973" operator="between">
      <formula>0.51</formula>
      <formula>0.75</formula>
    </cfRule>
    <cfRule type="cellIs" dxfId="6971" priority="8974" operator="greaterThan">
      <formula>1</formula>
    </cfRule>
    <cfRule type="cellIs" dxfId="6970" priority="8975" operator="between">
      <formula>0.95</formula>
      <formula>1</formula>
    </cfRule>
    <cfRule type="cellIs" dxfId="6969" priority="8976" stopIfTrue="1" operator="between">
      <formula>0</formula>
      <formula>0.5</formula>
    </cfRule>
  </conditionalFormatting>
  <conditionalFormatting sqref="Q168">
    <cfRule type="cellIs" dxfId="6968" priority="8967" operator="between">
      <formula>0.76</formula>
      <formula>0.95</formula>
    </cfRule>
    <cfRule type="cellIs" dxfId="6967" priority="8968" operator="between">
      <formula>0.51</formula>
      <formula>0.75</formula>
    </cfRule>
    <cfRule type="cellIs" dxfId="6966" priority="8969" operator="greaterThan">
      <formula>1</formula>
    </cfRule>
    <cfRule type="cellIs" dxfId="6965" priority="8970" operator="between">
      <formula>0.95</formula>
      <formula>1</formula>
    </cfRule>
    <cfRule type="cellIs" dxfId="6964" priority="8971" stopIfTrue="1" operator="between">
      <formula>0</formula>
      <formula>0.5</formula>
    </cfRule>
  </conditionalFormatting>
  <conditionalFormatting sqref="Q167">
    <cfRule type="cellIs" dxfId="6963" priority="8962" operator="between">
      <formula>0.76</formula>
      <formula>0.95</formula>
    </cfRule>
    <cfRule type="cellIs" dxfId="6962" priority="8963" operator="between">
      <formula>0.51</formula>
      <formula>0.75</formula>
    </cfRule>
    <cfRule type="cellIs" dxfId="6961" priority="8964" operator="greaterThan">
      <formula>1</formula>
    </cfRule>
    <cfRule type="cellIs" dxfId="6960" priority="8965" operator="between">
      <formula>0.95</formula>
      <formula>1</formula>
    </cfRule>
    <cfRule type="cellIs" dxfId="6959" priority="8966" stopIfTrue="1" operator="between">
      <formula>0</formula>
      <formula>0.5</formula>
    </cfRule>
  </conditionalFormatting>
  <conditionalFormatting sqref="Q169">
    <cfRule type="cellIs" dxfId="6958" priority="8957" operator="between">
      <formula>0.76</formula>
      <formula>0.95</formula>
    </cfRule>
    <cfRule type="cellIs" dxfId="6957" priority="8958" operator="between">
      <formula>0.51</formula>
      <formula>0.75</formula>
    </cfRule>
    <cfRule type="cellIs" dxfId="6956" priority="8959" operator="greaterThan">
      <formula>1</formula>
    </cfRule>
    <cfRule type="cellIs" dxfId="6955" priority="8960" operator="between">
      <formula>0.95</formula>
      <formula>1</formula>
    </cfRule>
    <cfRule type="cellIs" dxfId="6954" priority="8961" stopIfTrue="1" operator="between">
      <formula>0</formula>
      <formula>0.5</formula>
    </cfRule>
  </conditionalFormatting>
  <conditionalFormatting sqref="Q170">
    <cfRule type="cellIs" dxfId="6953" priority="8952" operator="between">
      <formula>0.76</formula>
      <formula>0.95</formula>
    </cfRule>
    <cfRule type="cellIs" dxfId="6952" priority="8953" operator="between">
      <formula>0.51</formula>
      <formula>0.75</formula>
    </cfRule>
    <cfRule type="cellIs" dxfId="6951" priority="8954" operator="greaterThan">
      <formula>1</formula>
    </cfRule>
    <cfRule type="cellIs" dxfId="6950" priority="8955" operator="between">
      <formula>0.95</formula>
      <formula>1</formula>
    </cfRule>
    <cfRule type="cellIs" dxfId="6949" priority="8956" stopIfTrue="1" operator="between">
      <formula>0</formula>
      <formula>0.5</formula>
    </cfRule>
  </conditionalFormatting>
  <conditionalFormatting sqref="Q171">
    <cfRule type="cellIs" dxfId="6948" priority="8947" operator="between">
      <formula>0.76</formula>
      <formula>0.95</formula>
    </cfRule>
    <cfRule type="cellIs" dxfId="6947" priority="8948" operator="between">
      <formula>0.51</formula>
      <formula>0.75</formula>
    </cfRule>
    <cfRule type="cellIs" dxfId="6946" priority="8949" operator="greaterThan">
      <formula>1</formula>
    </cfRule>
    <cfRule type="cellIs" dxfId="6945" priority="8950" operator="between">
      <formula>0.95</formula>
      <formula>1</formula>
    </cfRule>
    <cfRule type="cellIs" dxfId="6944" priority="8951" stopIfTrue="1" operator="between">
      <formula>0</formula>
      <formula>0.5</formula>
    </cfRule>
  </conditionalFormatting>
  <conditionalFormatting sqref="Q173">
    <cfRule type="cellIs" dxfId="6943" priority="8942" operator="between">
      <formula>0.76</formula>
      <formula>0.95</formula>
    </cfRule>
    <cfRule type="cellIs" dxfId="6942" priority="8943" operator="between">
      <formula>0.51</formula>
      <formula>0.75</formula>
    </cfRule>
    <cfRule type="cellIs" dxfId="6941" priority="8944" operator="greaterThan">
      <formula>1</formula>
    </cfRule>
    <cfRule type="cellIs" dxfId="6940" priority="8945" operator="between">
      <formula>0.95</formula>
      <formula>1</formula>
    </cfRule>
    <cfRule type="cellIs" dxfId="6939" priority="8946" stopIfTrue="1" operator="between">
      <formula>0</formula>
      <formula>0.5</formula>
    </cfRule>
  </conditionalFormatting>
  <conditionalFormatting sqref="Q172">
    <cfRule type="cellIs" dxfId="6938" priority="8937" operator="between">
      <formula>0.76</formula>
      <formula>0.95</formula>
    </cfRule>
    <cfRule type="cellIs" dxfId="6937" priority="8938" operator="between">
      <formula>0.51</formula>
      <formula>0.75</formula>
    </cfRule>
    <cfRule type="cellIs" dxfId="6936" priority="8939" operator="greaterThan">
      <formula>1</formula>
    </cfRule>
    <cfRule type="cellIs" dxfId="6935" priority="8940" operator="between">
      <formula>0.95</formula>
      <formula>1</formula>
    </cfRule>
    <cfRule type="cellIs" dxfId="6934" priority="8941" stopIfTrue="1" operator="between">
      <formula>0</formula>
      <formula>0.5</formula>
    </cfRule>
  </conditionalFormatting>
  <conditionalFormatting sqref="Q174">
    <cfRule type="cellIs" dxfId="6933" priority="8932" operator="between">
      <formula>0.76</formula>
      <formula>0.95</formula>
    </cfRule>
    <cfRule type="cellIs" dxfId="6932" priority="8933" operator="between">
      <formula>0.51</formula>
      <formula>0.75</formula>
    </cfRule>
    <cfRule type="cellIs" dxfId="6931" priority="8934" operator="greaterThan">
      <formula>1</formula>
    </cfRule>
    <cfRule type="cellIs" dxfId="6930" priority="8935" operator="between">
      <formula>0.95</formula>
      <formula>1</formula>
    </cfRule>
    <cfRule type="cellIs" dxfId="6929" priority="8936" stopIfTrue="1" operator="between">
      <formula>0</formula>
      <formula>0.5</formula>
    </cfRule>
  </conditionalFormatting>
  <conditionalFormatting sqref="Q175">
    <cfRule type="cellIs" dxfId="6928" priority="8922" operator="between">
      <formula>0.76</formula>
      <formula>0.95</formula>
    </cfRule>
    <cfRule type="cellIs" dxfId="6927" priority="8923" operator="between">
      <formula>0.51</formula>
      <formula>0.75</formula>
    </cfRule>
    <cfRule type="cellIs" dxfId="6926" priority="8924" operator="greaterThan">
      <formula>1</formula>
    </cfRule>
    <cfRule type="cellIs" dxfId="6925" priority="8925" operator="between">
      <formula>0.95</formula>
      <formula>1</formula>
    </cfRule>
    <cfRule type="cellIs" dxfId="6924" priority="8926" stopIfTrue="1" operator="between">
      <formula>0</formula>
      <formula>0.5</formula>
    </cfRule>
  </conditionalFormatting>
  <conditionalFormatting sqref="Q176">
    <cfRule type="cellIs" dxfId="6923" priority="8917" operator="between">
      <formula>0.76</formula>
      <formula>0.95</formula>
    </cfRule>
    <cfRule type="cellIs" dxfId="6922" priority="8918" operator="between">
      <formula>0.51</formula>
      <formula>0.75</formula>
    </cfRule>
    <cfRule type="cellIs" dxfId="6921" priority="8919" operator="greaterThan">
      <formula>1</formula>
    </cfRule>
    <cfRule type="cellIs" dxfId="6920" priority="8920" operator="between">
      <formula>0.95</formula>
      <formula>1</formula>
    </cfRule>
    <cfRule type="cellIs" dxfId="6919" priority="8921" stopIfTrue="1" operator="between">
      <formula>0</formula>
      <formula>0.5</formula>
    </cfRule>
  </conditionalFormatting>
  <conditionalFormatting sqref="Q177">
    <cfRule type="cellIs" dxfId="6918" priority="8912" operator="between">
      <formula>0.76</formula>
      <formula>0.95</formula>
    </cfRule>
    <cfRule type="cellIs" dxfId="6917" priority="8913" operator="between">
      <formula>0.51</formula>
      <formula>0.75</formula>
    </cfRule>
    <cfRule type="cellIs" dxfId="6916" priority="8914" operator="greaterThan">
      <formula>1</formula>
    </cfRule>
    <cfRule type="cellIs" dxfId="6915" priority="8915" operator="between">
      <formula>0.95</formula>
      <formula>1</formula>
    </cfRule>
    <cfRule type="cellIs" dxfId="6914" priority="8916" stopIfTrue="1" operator="between">
      <formula>0</formula>
      <formula>0.5</formula>
    </cfRule>
  </conditionalFormatting>
  <conditionalFormatting sqref="Q178">
    <cfRule type="cellIs" dxfId="6913" priority="8907" operator="between">
      <formula>0.76</formula>
      <formula>0.95</formula>
    </cfRule>
    <cfRule type="cellIs" dxfId="6912" priority="8908" operator="between">
      <formula>0.51</formula>
      <formula>0.75</formula>
    </cfRule>
    <cfRule type="cellIs" dxfId="6911" priority="8909" operator="greaterThan">
      <formula>1</formula>
    </cfRule>
    <cfRule type="cellIs" dxfId="6910" priority="8910" operator="between">
      <formula>0.95</formula>
      <formula>1</formula>
    </cfRule>
    <cfRule type="cellIs" dxfId="6909" priority="8911" stopIfTrue="1" operator="between">
      <formula>0</formula>
      <formula>0.5</formula>
    </cfRule>
  </conditionalFormatting>
  <conditionalFormatting sqref="Q179">
    <cfRule type="cellIs" dxfId="6908" priority="8902" operator="between">
      <formula>0.76</formula>
      <formula>0.95</formula>
    </cfRule>
    <cfRule type="cellIs" dxfId="6907" priority="8903" operator="between">
      <formula>0.51</formula>
      <formula>0.75</formula>
    </cfRule>
    <cfRule type="cellIs" dxfId="6906" priority="8904" operator="greaterThan">
      <formula>1</formula>
    </cfRule>
    <cfRule type="cellIs" dxfId="6905" priority="8905" operator="between">
      <formula>0.95</formula>
      <formula>1</formula>
    </cfRule>
    <cfRule type="cellIs" dxfId="6904" priority="8906" stopIfTrue="1" operator="between">
      <formula>0</formula>
      <formula>0.5</formula>
    </cfRule>
  </conditionalFormatting>
  <conditionalFormatting sqref="Q180">
    <cfRule type="cellIs" dxfId="6903" priority="8897" operator="between">
      <formula>0.76</formula>
      <formula>0.95</formula>
    </cfRule>
    <cfRule type="cellIs" dxfId="6902" priority="8898" operator="between">
      <formula>0.51</formula>
      <formula>0.75</formula>
    </cfRule>
    <cfRule type="cellIs" dxfId="6901" priority="8899" operator="greaterThan">
      <formula>1</formula>
    </cfRule>
    <cfRule type="cellIs" dxfId="6900" priority="8900" operator="between">
      <formula>0.95</formula>
      <formula>1</formula>
    </cfRule>
    <cfRule type="cellIs" dxfId="6899" priority="8901" stopIfTrue="1" operator="between">
      <formula>0</formula>
      <formula>0.5</formula>
    </cfRule>
  </conditionalFormatting>
  <conditionalFormatting sqref="Q181">
    <cfRule type="cellIs" dxfId="6898" priority="8892" operator="between">
      <formula>0.76</formula>
      <formula>0.95</formula>
    </cfRule>
    <cfRule type="cellIs" dxfId="6897" priority="8893" operator="between">
      <formula>0.51</formula>
      <formula>0.75</formula>
    </cfRule>
    <cfRule type="cellIs" dxfId="6896" priority="8894" operator="greaterThan">
      <formula>1</formula>
    </cfRule>
    <cfRule type="cellIs" dxfId="6895" priority="8895" operator="between">
      <formula>0.95</formula>
      <formula>1</formula>
    </cfRule>
    <cfRule type="cellIs" dxfId="6894" priority="8896" stopIfTrue="1" operator="between">
      <formula>0</formula>
      <formula>0.5</formula>
    </cfRule>
  </conditionalFormatting>
  <conditionalFormatting sqref="Q182">
    <cfRule type="cellIs" dxfId="6893" priority="8887" operator="between">
      <formula>0.76</formula>
      <formula>0.95</formula>
    </cfRule>
    <cfRule type="cellIs" dxfId="6892" priority="8888" operator="between">
      <formula>0.51</formula>
      <formula>0.75</formula>
    </cfRule>
    <cfRule type="cellIs" dxfId="6891" priority="8889" operator="greaterThan">
      <formula>1</formula>
    </cfRule>
    <cfRule type="cellIs" dxfId="6890" priority="8890" operator="between">
      <formula>0.95</formula>
      <formula>1</formula>
    </cfRule>
    <cfRule type="cellIs" dxfId="6889" priority="8891" stopIfTrue="1" operator="between">
      <formula>0</formula>
      <formula>0.5</formula>
    </cfRule>
  </conditionalFormatting>
  <conditionalFormatting sqref="Q183">
    <cfRule type="cellIs" dxfId="6888" priority="8882" operator="between">
      <formula>0.76</formula>
      <formula>0.95</formula>
    </cfRule>
    <cfRule type="cellIs" dxfId="6887" priority="8883" operator="between">
      <formula>0.51</formula>
      <formula>0.75</formula>
    </cfRule>
    <cfRule type="cellIs" dxfId="6886" priority="8884" operator="greaterThan">
      <formula>1</formula>
    </cfRule>
    <cfRule type="cellIs" dxfId="6885" priority="8885" operator="between">
      <formula>0.95</formula>
      <formula>1</formula>
    </cfRule>
    <cfRule type="cellIs" dxfId="6884" priority="8886" stopIfTrue="1" operator="between">
      <formula>0</formula>
      <formula>0.5</formula>
    </cfRule>
  </conditionalFormatting>
  <conditionalFormatting sqref="Q184">
    <cfRule type="cellIs" dxfId="6883" priority="8877" operator="between">
      <formula>0.76</formula>
      <formula>0.95</formula>
    </cfRule>
    <cfRule type="cellIs" dxfId="6882" priority="8878" operator="between">
      <formula>0.51</formula>
      <formula>0.75</formula>
    </cfRule>
    <cfRule type="cellIs" dxfId="6881" priority="8879" operator="greaterThan">
      <formula>1</formula>
    </cfRule>
    <cfRule type="cellIs" dxfId="6880" priority="8880" operator="between">
      <formula>0.95</formula>
      <formula>1</formula>
    </cfRule>
    <cfRule type="cellIs" dxfId="6879" priority="8881" stopIfTrue="1" operator="between">
      <formula>0</formula>
      <formula>0.5</formula>
    </cfRule>
  </conditionalFormatting>
  <conditionalFormatting sqref="Q185">
    <cfRule type="cellIs" dxfId="6878" priority="8872" operator="between">
      <formula>0.76</formula>
      <formula>0.95</formula>
    </cfRule>
    <cfRule type="cellIs" dxfId="6877" priority="8873" operator="between">
      <formula>0.51</formula>
      <formula>0.75</formula>
    </cfRule>
    <cfRule type="cellIs" dxfId="6876" priority="8874" operator="greaterThan">
      <formula>1</formula>
    </cfRule>
    <cfRule type="cellIs" dxfId="6875" priority="8875" operator="between">
      <formula>0.95</formula>
      <formula>1</formula>
    </cfRule>
    <cfRule type="cellIs" dxfId="6874" priority="8876" stopIfTrue="1" operator="between">
      <formula>0</formula>
      <formula>0.5</formula>
    </cfRule>
  </conditionalFormatting>
  <conditionalFormatting sqref="Q186">
    <cfRule type="cellIs" dxfId="6873" priority="8867" operator="between">
      <formula>0.76</formula>
      <formula>0.95</formula>
    </cfRule>
    <cfRule type="cellIs" dxfId="6872" priority="8868" operator="between">
      <formula>0.51</formula>
      <formula>0.75</formula>
    </cfRule>
    <cfRule type="cellIs" dxfId="6871" priority="8869" operator="greaterThan">
      <formula>1</formula>
    </cfRule>
    <cfRule type="cellIs" dxfId="6870" priority="8870" operator="between">
      <formula>0.95</formula>
      <formula>1</formula>
    </cfRule>
    <cfRule type="cellIs" dxfId="6869" priority="8871" stopIfTrue="1" operator="between">
      <formula>0</formula>
      <formula>0.5</formula>
    </cfRule>
  </conditionalFormatting>
  <conditionalFormatting sqref="Q187">
    <cfRule type="cellIs" dxfId="6868" priority="8862" operator="between">
      <formula>0.76</formula>
      <formula>0.95</formula>
    </cfRule>
    <cfRule type="cellIs" dxfId="6867" priority="8863" operator="between">
      <formula>0.51</formula>
      <formula>0.75</formula>
    </cfRule>
    <cfRule type="cellIs" dxfId="6866" priority="8864" operator="greaterThan">
      <formula>1</formula>
    </cfRule>
    <cfRule type="cellIs" dxfId="6865" priority="8865" operator="between">
      <formula>0.95</formula>
      <formula>1</formula>
    </cfRule>
    <cfRule type="cellIs" dxfId="6864" priority="8866" stopIfTrue="1" operator="between">
      <formula>0</formula>
      <formula>0.5</formula>
    </cfRule>
  </conditionalFormatting>
  <conditionalFormatting sqref="Q188">
    <cfRule type="cellIs" dxfId="6863" priority="8857" operator="between">
      <formula>0.76</formula>
      <formula>0.95</formula>
    </cfRule>
    <cfRule type="cellIs" dxfId="6862" priority="8858" operator="between">
      <formula>0.51</formula>
      <formula>0.75</formula>
    </cfRule>
    <cfRule type="cellIs" dxfId="6861" priority="8859" operator="greaterThan">
      <formula>1</formula>
    </cfRule>
    <cfRule type="cellIs" dxfId="6860" priority="8860" operator="between">
      <formula>0.95</formula>
      <formula>1</formula>
    </cfRule>
    <cfRule type="cellIs" dxfId="6859" priority="8861" stopIfTrue="1" operator="between">
      <formula>0</formula>
      <formula>0.5</formula>
    </cfRule>
  </conditionalFormatting>
  <conditionalFormatting sqref="Q190">
    <cfRule type="cellIs" dxfId="6858" priority="8847" operator="between">
      <formula>0.76</formula>
      <formula>0.95</formula>
    </cfRule>
    <cfRule type="cellIs" dxfId="6857" priority="8848" operator="between">
      <formula>0.51</formula>
      <formula>0.75</formula>
    </cfRule>
    <cfRule type="cellIs" dxfId="6856" priority="8849" operator="greaterThan">
      <formula>1</formula>
    </cfRule>
    <cfRule type="cellIs" dxfId="6855" priority="8850" operator="between">
      <formula>0.95</formula>
      <formula>1</formula>
    </cfRule>
    <cfRule type="cellIs" dxfId="6854" priority="8851" stopIfTrue="1" operator="between">
      <formula>0</formula>
      <formula>0.5</formula>
    </cfRule>
  </conditionalFormatting>
  <conditionalFormatting sqref="Q189">
    <cfRule type="cellIs" dxfId="6853" priority="8842" operator="between">
      <formula>0.76</formula>
      <formula>0.95</formula>
    </cfRule>
    <cfRule type="cellIs" dxfId="6852" priority="8843" operator="between">
      <formula>0.51</formula>
      <formula>0.75</formula>
    </cfRule>
    <cfRule type="cellIs" dxfId="6851" priority="8844" operator="greaterThan">
      <formula>1</formula>
    </cfRule>
    <cfRule type="cellIs" dxfId="6850" priority="8845" operator="between">
      <formula>0.95</formula>
      <formula>1</formula>
    </cfRule>
    <cfRule type="cellIs" dxfId="6849" priority="8846" stopIfTrue="1" operator="between">
      <formula>0</formula>
      <formula>0.5</formula>
    </cfRule>
  </conditionalFormatting>
  <conditionalFormatting sqref="Q191">
    <cfRule type="cellIs" dxfId="6848" priority="8837" operator="between">
      <formula>0.76</formula>
      <formula>0.95</formula>
    </cfRule>
    <cfRule type="cellIs" dxfId="6847" priority="8838" operator="between">
      <formula>0.51</formula>
      <formula>0.75</formula>
    </cfRule>
    <cfRule type="cellIs" dxfId="6846" priority="8839" operator="greaterThan">
      <formula>1</formula>
    </cfRule>
    <cfRule type="cellIs" dxfId="6845" priority="8840" operator="between">
      <formula>0.95</formula>
      <formula>1</formula>
    </cfRule>
    <cfRule type="cellIs" dxfId="6844" priority="8841" stopIfTrue="1" operator="between">
      <formula>0</formula>
      <formula>0.5</formula>
    </cfRule>
  </conditionalFormatting>
  <conditionalFormatting sqref="Q192">
    <cfRule type="cellIs" dxfId="6843" priority="8832" operator="between">
      <formula>0.76</formula>
      <formula>0.95</formula>
    </cfRule>
    <cfRule type="cellIs" dxfId="6842" priority="8833" operator="between">
      <formula>0.51</formula>
      <formula>0.75</formula>
    </cfRule>
    <cfRule type="cellIs" dxfId="6841" priority="8834" operator="greaterThan">
      <formula>1</formula>
    </cfRule>
    <cfRule type="cellIs" dxfId="6840" priority="8835" operator="between">
      <formula>0.95</formula>
      <formula>1</formula>
    </cfRule>
    <cfRule type="cellIs" dxfId="6839" priority="8836" stopIfTrue="1" operator="between">
      <formula>0</formula>
      <formula>0.5</formula>
    </cfRule>
  </conditionalFormatting>
  <conditionalFormatting sqref="Q193">
    <cfRule type="cellIs" dxfId="6838" priority="8827" operator="between">
      <formula>0.76</formula>
      <formula>0.95</formula>
    </cfRule>
    <cfRule type="cellIs" dxfId="6837" priority="8828" operator="between">
      <formula>0.51</formula>
      <formula>0.75</formula>
    </cfRule>
    <cfRule type="cellIs" dxfId="6836" priority="8829" operator="greaterThan">
      <formula>1</formula>
    </cfRule>
    <cfRule type="cellIs" dxfId="6835" priority="8830" operator="between">
      <formula>0.95</formula>
      <formula>1</formula>
    </cfRule>
    <cfRule type="cellIs" dxfId="6834" priority="8831" stopIfTrue="1" operator="between">
      <formula>0</formula>
      <formula>0.5</formula>
    </cfRule>
  </conditionalFormatting>
  <conditionalFormatting sqref="Q194">
    <cfRule type="cellIs" dxfId="6833" priority="8822" operator="between">
      <formula>0.76</formula>
      <formula>0.95</formula>
    </cfRule>
    <cfRule type="cellIs" dxfId="6832" priority="8823" operator="between">
      <formula>0.51</formula>
      <formula>0.75</formula>
    </cfRule>
    <cfRule type="cellIs" dxfId="6831" priority="8824" operator="greaterThan">
      <formula>1</formula>
    </cfRule>
    <cfRule type="cellIs" dxfId="6830" priority="8825" operator="between">
      <formula>0.95</formula>
      <formula>1</formula>
    </cfRule>
    <cfRule type="cellIs" dxfId="6829" priority="8826" stopIfTrue="1" operator="between">
      <formula>0</formula>
      <formula>0.5</formula>
    </cfRule>
  </conditionalFormatting>
  <conditionalFormatting sqref="Q195">
    <cfRule type="cellIs" dxfId="6828" priority="8817" operator="between">
      <formula>0.76</formula>
      <formula>0.95</formula>
    </cfRule>
    <cfRule type="cellIs" dxfId="6827" priority="8818" operator="between">
      <formula>0.51</formula>
      <formula>0.75</formula>
    </cfRule>
    <cfRule type="cellIs" dxfId="6826" priority="8819" operator="greaterThan">
      <formula>1</formula>
    </cfRule>
    <cfRule type="cellIs" dxfId="6825" priority="8820" operator="between">
      <formula>0.95</formula>
      <formula>1</formula>
    </cfRule>
    <cfRule type="cellIs" dxfId="6824" priority="8821" stopIfTrue="1" operator="between">
      <formula>0</formula>
      <formula>0.5</formula>
    </cfRule>
  </conditionalFormatting>
  <conditionalFormatting sqref="Q196">
    <cfRule type="cellIs" dxfId="6823" priority="8812" operator="between">
      <formula>0.76</formula>
      <formula>0.95</formula>
    </cfRule>
    <cfRule type="cellIs" dxfId="6822" priority="8813" operator="between">
      <formula>0.51</formula>
      <formula>0.75</formula>
    </cfRule>
    <cfRule type="cellIs" dxfId="6821" priority="8814" operator="greaterThan">
      <formula>1</formula>
    </cfRule>
    <cfRule type="cellIs" dxfId="6820" priority="8815" operator="between">
      <formula>0.95</formula>
      <formula>1</formula>
    </cfRule>
    <cfRule type="cellIs" dxfId="6819" priority="8816" stopIfTrue="1" operator="between">
      <formula>0</formula>
      <formula>0.5</formula>
    </cfRule>
  </conditionalFormatting>
  <conditionalFormatting sqref="Q197">
    <cfRule type="cellIs" dxfId="6818" priority="8807" operator="between">
      <formula>0.76</formula>
      <formula>0.95</formula>
    </cfRule>
    <cfRule type="cellIs" dxfId="6817" priority="8808" operator="between">
      <formula>0.51</formula>
      <formula>0.75</formula>
    </cfRule>
    <cfRule type="cellIs" dxfId="6816" priority="8809" operator="greaterThan">
      <formula>1</formula>
    </cfRule>
    <cfRule type="cellIs" dxfId="6815" priority="8810" operator="between">
      <formula>0.95</formula>
      <formula>1</formula>
    </cfRule>
    <cfRule type="cellIs" dxfId="6814" priority="8811" stopIfTrue="1" operator="between">
      <formula>0</formula>
      <formula>0.5</formula>
    </cfRule>
  </conditionalFormatting>
  <conditionalFormatting sqref="Q198">
    <cfRule type="cellIs" dxfId="6813" priority="8802" operator="between">
      <formula>0.76</formula>
      <formula>0.95</formula>
    </cfRule>
    <cfRule type="cellIs" dxfId="6812" priority="8803" operator="between">
      <formula>0.51</formula>
      <formula>0.75</formula>
    </cfRule>
    <cfRule type="cellIs" dxfId="6811" priority="8804" operator="greaterThan">
      <formula>1</formula>
    </cfRule>
    <cfRule type="cellIs" dxfId="6810" priority="8805" operator="between">
      <formula>0.95</formula>
      <formula>1</formula>
    </cfRule>
    <cfRule type="cellIs" dxfId="6809" priority="8806" stopIfTrue="1" operator="between">
      <formula>0</formula>
      <formula>0.5</formula>
    </cfRule>
  </conditionalFormatting>
  <conditionalFormatting sqref="Q199">
    <cfRule type="cellIs" dxfId="6808" priority="8797" operator="between">
      <formula>0.76</formula>
      <formula>0.95</formula>
    </cfRule>
    <cfRule type="cellIs" dxfId="6807" priority="8798" operator="between">
      <formula>0.51</formula>
      <formula>0.75</formula>
    </cfRule>
    <cfRule type="cellIs" dxfId="6806" priority="8799" operator="greaterThan">
      <formula>1</formula>
    </cfRule>
    <cfRule type="cellIs" dxfId="6805" priority="8800" operator="between">
      <formula>0.95</formula>
      <formula>1</formula>
    </cfRule>
    <cfRule type="cellIs" dxfId="6804" priority="8801" stopIfTrue="1" operator="between">
      <formula>0</formula>
      <formula>0.5</formula>
    </cfRule>
  </conditionalFormatting>
  <conditionalFormatting sqref="Q200">
    <cfRule type="cellIs" dxfId="6803" priority="8792" operator="between">
      <formula>0.76</formula>
      <formula>0.95</formula>
    </cfRule>
    <cfRule type="cellIs" dxfId="6802" priority="8793" operator="between">
      <formula>0.51</formula>
      <formula>0.75</formula>
    </cfRule>
    <cfRule type="cellIs" dxfId="6801" priority="8794" operator="greaterThan">
      <formula>1</formula>
    </cfRule>
    <cfRule type="cellIs" dxfId="6800" priority="8795" operator="between">
      <formula>0.95</formula>
      <formula>1</formula>
    </cfRule>
    <cfRule type="cellIs" dxfId="6799" priority="8796" stopIfTrue="1" operator="between">
      <formula>0</formula>
      <formula>0.5</formula>
    </cfRule>
  </conditionalFormatting>
  <conditionalFormatting sqref="Q201">
    <cfRule type="cellIs" dxfId="6798" priority="8787" operator="between">
      <formula>0.76</formula>
      <formula>0.95</formula>
    </cfRule>
    <cfRule type="cellIs" dxfId="6797" priority="8788" operator="between">
      <formula>0.51</formula>
      <formula>0.75</formula>
    </cfRule>
    <cfRule type="cellIs" dxfId="6796" priority="8789" operator="greaterThan">
      <formula>1</formula>
    </cfRule>
    <cfRule type="cellIs" dxfId="6795" priority="8790" operator="between">
      <formula>0.95</formula>
      <formula>1</formula>
    </cfRule>
    <cfRule type="cellIs" dxfId="6794" priority="8791" stopIfTrue="1" operator="between">
      <formula>0</formula>
      <formula>0.5</formula>
    </cfRule>
  </conditionalFormatting>
  <conditionalFormatting sqref="Q202">
    <cfRule type="cellIs" dxfId="6793" priority="8782" operator="between">
      <formula>0.76</formula>
      <formula>0.95</formula>
    </cfRule>
    <cfRule type="cellIs" dxfId="6792" priority="8783" operator="between">
      <formula>0.51</formula>
      <formula>0.75</formula>
    </cfRule>
    <cfRule type="cellIs" dxfId="6791" priority="8784" operator="greaterThan">
      <formula>1</formula>
    </cfRule>
    <cfRule type="cellIs" dxfId="6790" priority="8785" operator="between">
      <formula>0.95</formula>
      <formula>1</formula>
    </cfRule>
    <cfRule type="cellIs" dxfId="6789" priority="8786" stopIfTrue="1" operator="between">
      <formula>0</formula>
      <formula>0.5</formula>
    </cfRule>
  </conditionalFormatting>
  <conditionalFormatting sqref="Q203">
    <cfRule type="cellIs" dxfId="6788" priority="8777" operator="between">
      <formula>0.76</formula>
      <formula>0.95</formula>
    </cfRule>
    <cfRule type="cellIs" dxfId="6787" priority="8778" operator="between">
      <formula>0.51</formula>
      <formula>0.75</formula>
    </cfRule>
    <cfRule type="cellIs" dxfId="6786" priority="8779" operator="greaterThan">
      <formula>1</formula>
    </cfRule>
    <cfRule type="cellIs" dxfId="6785" priority="8780" operator="between">
      <formula>0.95</formula>
      <formula>1</formula>
    </cfRule>
    <cfRule type="cellIs" dxfId="6784" priority="8781" stopIfTrue="1" operator="between">
      <formula>0</formula>
      <formula>0.5</formula>
    </cfRule>
  </conditionalFormatting>
  <conditionalFormatting sqref="Q204">
    <cfRule type="cellIs" dxfId="6783" priority="8772" operator="between">
      <formula>0.76</formula>
      <formula>0.95</formula>
    </cfRule>
    <cfRule type="cellIs" dxfId="6782" priority="8773" operator="between">
      <formula>0.51</formula>
      <formula>0.75</formula>
    </cfRule>
    <cfRule type="cellIs" dxfId="6781" priority="8774" operator="greaterThan">
      <formula>1</formula>
    </cfRule>
    <cfRule type="cellIs" dxfId="6780" priority="8775" operator="between">
      <formula>0.95</formula>
      <formula>1</formula>
    </cfRule>
    <cfRule type="cellIs" dxfId="6779" priority="8776" stopIfTrue="1" operator="between">
      <formula>0</formula>
      <formula>0.5</formula>
    </cfRule>
  </conditionalFormatting>
  <conditionalFormatting sqref="Q205">
    <cfRule type="cellIs" dxfId="6778" priority="8767" operator="between">
      <formula>0.76</formula>
      <formula>0.95</formula>
    </cfRule>
    <cfRule type="cellIs" dxfId="6777" priority="8768" operator="between">
      <formula>0.51</formula>
      <formula>0.75</formula>
    </cfRule>
    <cfRule type="cellIs" dxfId="6776" priority="8769" operator="greaterThan">
      <formula>1</formula>
    </cfRule>
    <cfRule type="cellIs" dxfId="6775" priority="8770" operator="between">
      <formula>0.95</formula>
      <formula>1</formula>
    </cfRule>
    <cfRule type="cellIs" dxfId="6774" priority="8771" stopIfTrue="1" operator="between">
      <formula>0</formula>
      <formula>0.5</formula>
    </cfRule>
  </conditionalFormatting>
  <conditionalFormatting sqref="Q207">
    <cfRule type="cellIs" dxfId="6773" priority="8762" operator="between">
      <formula>0.76</formula>
      <formula>0.95</formula>
    </cfRule>
    <cfRule type="cellIs" dxfId="6772" priority="8763" operator="between">
      <formula>0.51</formula>
      <formula>0.75</formula>
    </cfRule>
    <cfRule type="cellIs" dxfId="6771" priority="8764" operator="greaterThan">
      <formula>1</formula>
    </cfRule>
    <cfRule type="cellIs" dxfId="6770" priority="8765" operator="between">
      <formula>0.95</formula>
      <formula>1</formula>
    </cfRule>
    <cfRule type="cellIs" dxfId="6769" priority="8766" stopIfTrue="1" operator="between">
      <formula>0</formula>
      <formula>0.5</formula>
    </cfRule>
  </conditionalFormatting>
  <conditionalFormatting sqref="Q208">
    <cfRule type="cellIs" dxfId="6768" priority="8757" operator="between">
      <formula>0.76</formula>
      <formula>0.95</formula>
    </cfRule>
    <cfRule type="cellIs" dxfId="6767" priority="8758" operator="between">
      <formula>0.51</formula>
      <formula>0.75</formula>
    </cfRule>
    <cfRule type="cellIs" dxfId="6766" priority="8759" operator="greaterThan">
      <formula>1</formula>
    </cfRule>
    <cfRule type="cellIs" dxfId="6765" priority="8760" operator="between">
      <formula>0.95</formula>
      <formula>1</formula>
    </cfRule>
    <cfRule type="cellIs" dxfId="6764" priority="8761" stopIfTrue="1" operator="between">
      <formula>0</formula>
      <formula>0.5</formula>
    </cfRule>
  </conditionalFormatting>
  <conditionalFormatting sqref="Q209">
    <cfRule type="cellIs" dxfId="6763" priority="8752" operator="between">
      <formula>0.76</formula>
      <formula>0.95</formula>
    </cfRule>
    <cfRule type="cellIs" dxfId="6762" priority="8753" operator="between">
      <formula>0.51</formula>
      <formula>0.75</formula>
    </cfRule>
    <cfRule type="cellIs" dxfId="6761" priority="8754" operator="greaterThan">
      <formula>1</formula>
    </cfRule>
    <cfRule type="cellIs" dxfId="6760" priority="8755" operator="between">
      <formula>0.95</formula>
      <formula>1</formula>
    </cfRule>
    <cfRule type="cellIs" dxfId="6759" priority="8756" stopIfTrue="1" operator="between">
      <formula>0</formula>
      <formula>0.5</formula>
    </cfRule>
  </conditionalFormatting>
  <conditionalFormatting sqref="Q210">
    <cfRule type="cellIs" dxfId="6758" priority="8747" operator="between">
      <formula>0.76</formula>
      <formula>0.95</formula>
    </cfRule>
    <cfRule type="cellIs" dxfId="6757" priority="8748" operator="between">
      <formula>0.51</formula>
      <formula>0.75</formula>
    </cfRule>
    <cfRule type="cellIs" dxfId="6756" priority="8749" operator="greaterThan">
      <formula>1</formula>
    </cfRule>
    <cfRule type="cellIs" dxfId="6755" priority="8750" operator="between">
      <formula>0.95</formula>
      <formula>1</formula>
    </cfRule>
    <cfRule type="cellIs" dxfId="6754" priority="8751" stopIfTrue="1" operator="between">
      <formula>0</formula>
      <formula>0.5</formula>
    </cfRule>
  </conditionalFormatting>
  <conditionalFormatting sqref="Q211">
    <cfRule type="cellIs" dxfId="6753" priority="8742" operator="between">
      <formula>0.76</formula>
      <formula>0.95</formula>
    </cfRule>
    <cfRule type="cellIs" dxfId="6752" priority="8743" operator="between">
      <formula>0.51</formula>
      <formula>0.75</formula>
    </cfRule>
    <cfRule type="cellIs" dxfId="6751" priority="8744" operator="greaterThan">
      <formula>1</formula>
    </cfRule>
    <cfRule type="cellIs" dxfId="6750" priority="8745" operator="between">
      <formula>0.95</formula>
      <formula>1</formula>
    </cfRule>
    <cfRule type="cellIs" dxfId="6749" priority="8746" stopIfTrue="1" operator="between">
      <formula>0</formula>
      <formula>0.5</formula>
    </cfRule>
  </conditionalFormatting>
  <conditionalFormatting sqref="Q212">
    <cfRule type="cellIs" dxfId="6748" priority="8737" operator="between">
      <formula>0.76</formula>
      <formula>0.95</formula>
    </cfRule>
    <cfRule type="cellIs" dxfId="6747" priority="8738" operator="between">
      <formula>0.51</formula>
      <formula>0.75</formula>
    </cfRule>
    <cfRule type="cellIs" dxfId="6746" priority="8739" operator="greaterThan">
      <formula>1</formula>
    </cfRule>
    <cfRule type="cellIs" dxfId="6745" priority="8740" operator="between">
      <formula>0.95</formula>
      <formula>1</formula>
    </cfRule>
    <cfRule type="cellIs" dxfId="6744" priority="8741" stopIfTrue="1" operator="between">
      <formula>0</formula>
      <formula>0.5</formula>
    </cfRule>
  </conditionalFormatting>
  <conditionalFormatting sqref="Q213">
    <cfRule type="cellIs" dxfId="6743" priority="8732" operator="between">
      <formula>0.76</formula>
      <formula>0.95</formula>
    </cfRule>
    <cfRule type="cellIs" dxfId="6742" priority="8733" operator="between">
      <formula>0.51</formula>
      <formula>0.75</formula>
    </cfRule>
    <cfRule type="cellIs" dxfId="6741" priority="8734" operator="greaterThan">
      <formula>1</formula>
    </cfRule>
    <cfRule type="cellIs" dxfId="6740" priority="8735" operator="between">
      <formula>0.95</formula>
      <formula>1</formula>
    </cfRule>
    <cfRule type="cellIs" dxfId="6739" priority="8736" stopIfTrue="1" operator="between">
      <formula>0</formula>
      <formula>0.5</formula>
    </cfRule>
  </conditionalFormatting>
  <conditionalFormatting sqref="Q214">
    <cfRule type="cellIs" dxfId="6738" priority="8727" operator="between">
      <formula>0.76</formula>
      <formula>0.95</formula>
    </cfRule>
    <cfRule type="cellIs" dxfId="6737" priority="8728" operator="between">
      <formula>0.51</formula>
      <formula>0.75</formula>
    </cfRule>
    <cfRule type="cellIs" dxfId="6736" priority="8729" operator="greaterThan">
      <formula>1</formula>
    </cfRule>
    <cfRule type="cellIs" dxfId="6735" priority="8730" operator="between">
      <formula>0.95</formula>
      <formula>1</formula>
    </cfRule>
    <cfRule type="cellIs" dxfId="6734" priority="8731" stopIfTrue="1" operator="between">
      <formula>0</formula>
      <formula>0.5</formula>
    </cfRule>
  </conditionalFormatting>
  <conditionalFormatting sqref="Q215">
    <cfRule type="cellIs" dxfId="6733" priority="8722" operator="between">
      <formula>0.76</formula>
      <formula>0.95</formula>
    </cfRule>
    <cfRule type="cellIs" dxfId="6732" priority="8723" operator="between">
      <formula>0.51</formula>
      <formula>0.75</formula>
    </cfRule>
    <cfRule type="cellIs" dxfId="6731" priority="8724" operator="greaterThan">
      <formula>1</formula>
    </cfRule>
    <cfRule type="cellIs" dxfId="6730" priority="8725" operator="between">
      <formula>0.95</formula>
      <formula>1</formula>
    </cfRule>
    <cfRule type="cellIs" dxfId="6729" priority="8726" stopIfTrue="1" operator="between">
      <formula>0</formula>
      <formula>0.5</formula>
    </cfRule>
  </conditionalFormatting>
  <conditionalFormatting sqref="Q216">
    <cfRule type="cellIs" dxfId="6728" priority="8717" operator="between">
      <formula>0.76</formula>
      <formula>0.95</formula>
    </cfRule>
    <cfRule type="cellIs" dxfId="6727" priority="8718" operator="between">
      <formula>0.51</formula>
      <formula>0.75</formula>
    </cfRule>
    <cfRule type="cellIs" dxfId="6726" priority="8719" operator="greaterThan">
      <formula>1</formula>
    </cfRule>
    <cfRule type="cellIs" dxfId="6725" priority="8720" operator="between">
      <formula>0.95</formula>
      <formula>1</formula>
    </cfRule>
    <cfRule type="cellIs" dxfId="6724" priority="8721" stopIfTrue="1" operator="between">
      <formula>0</formula>
      <formula>0.5</formula>
    </cfRule>
  </conditionalFormatting>
  <conditionalFormatting sqref="Q217">
    <cfRule type="cellIs" dxfId="6723" priority="8712" operator="between">
      <formula>0.76</formula>
      <formula>0.95</formula>
    </cfRule>
    <cfRule type="cellIs" dxfId="6722" priority="8713" operator="between">
      <formula>0.51</formula>
      <formula>0.75</formula>
    </cfRule>
    <cfRule type="cellIs" dxfId="6721" priority="8714" operator="greaterThan">
      <formula>1</formula>
    </cfRule>
    <cfRule type="cellIs" dxfId="6720" priority="8715" operator="between">
      <formula>0.95</formula>
      <formula>1</formula>
    </cfRule>
    <cfRule type="cellIs" dxfId="6719" priority="8716" stopIfTrue="1" operator="between">
      <formula>0</formula>
      <formula>0.5</formula>
    </cfRule>
  </conditionalFormatting>
  <conditionalFormatting sqref="U15">
    <cfRule type="cellIs" dxfId="6718" priority="8707" operator="between">
      <formula>0.76</formula>
      <formula>0.95</formula>
    </cfRule>
    <cfRule type="cellIs" dxfId="6717" priority="8708" operator="between">
      <formula>0.51</formula>
      <formula>0.75</formula>
    </cfRule>
    <cfRule type="cellIs" dxfId="6716" priority="8709" operator="greaterThan">
      <formula>1</formula>
    </cfRule>
    <cfRule type="cellIs" dxfId="6715" priority="8710" operator="between">
      <formula>0.95</formula>
      <formula>1</formula>
    </cfRule>
    <cfRule type="cellIs" dxfId="6714" priority="8711" stopIfTrue="1" operator="between">
      <formula>0</formula>
      <formula>0.5</formula>
    </cfRule>
  </conditionalFormatting>
  <conditionalFormatting sqref="U16">
    <cfRule type="cellIs" dxfId="6713" priority="8702" operator="between">
      <formula>0.76</formula>
      <formula>0.95</formula>
    </cfRule>
    <cfRule type="cellIs" dxfId="6712" priority="8703" operator="between">
      <formula>0.51</formula>
      <formula>0.75</formula>
    </cfRule>
    <cfRule type="cellIs" dxfId="6711" priority="8704" operator="greaterThan">
      <formula>1</formula>
    </cfRule>
    <cfRule type="cellIs" dxfId="6710" priority="8705" operator="between">
      <formula>0.95</formula>
      <formula>1</formula>
    </cfRule>
    <cfRule type="cellIs" dxfId="6709" priority="8706" stopIfTrue="1" operator="between">
      <formula>0</formula>
      <formula>0.5</formula>
    </cfRule>
  </conditionalFormatting>
  <conditionalFormatting sqref="U17">
    <cfRule type="cellIs" dxfId="6708" priority="8697" operator="between">
      <formula>0.76</formula>
      <formula>0.95</formula>
    </cfRule>
    <cfRule type="cellIs" dxfId="6707" priority="8698" operator="between">
      <formula>0.51</formula>
      <formula>0.75</formula>
    </cfRule>
    <cfRule type="cellIs" dxfId="6706" priority="8699" operator="greaterThan">
      <formula>1</formula>
    </cfRule>
    <cfRule type="cellIs" dxfId="6705" priority="8700" operator="between">
      <formula>0.95</formula>
      <formula>1</formula>
    </cfRule>
    <cfRule type="cellIs" dxfId="6704" priority="8701" stopIfTrue="1" operator="between">
      <formula>0</formula>
      <formula>0.5</formula>
    </cfRule>
  </conditionalFormatting>
  <conditionalFormatting sqref="U18">
    <cfRule type="cellIs" dxfId="6703" priority="8687" operator="between">
      <formula>0.76</formula>
      <formula>0.95</formula>
    </cfRule>
    <cfRule type="cellIs" dxfId="6702" priority="8688" operator="between">
      <formula>0.51</formula>
      <formula>0.75</formula>
    </cfRule>
    <cfRule type="cellIs" dxfId="6701" priority="8689" operator="greaterThan">
      <formula>1</formula>
    </cfRule>
    <cfRule type="cellIs" dxfId="6700" priority="8690" operator="between">
      <formula>0.95</formula>
      <formula>1</formula>
    </cfRule>
    <cfRule type="cellIs" dxfId="6699" priority="8691" stopIfTrue="1" operator="between">
      <formula>0</formula>
      <formula>0.5</formula>
    </cfRule>
  </conditionalFormatting>
  <conditionalFormatting sqref="U19">
    <cfRule type="cellIs" dxfId="6698" priority="8682" operator="between">
      <formula>0.76</formula>
      <formula>0.95</formula>
    </cfRule>
    <cfRule type="cellIs" dxfId="6697" priority="8683" operator="between">
      <formula>0.51</formula>
      <formula>0.75</formula>
    </cfRule>
    <cfRule type="cellIs" dxfId="6696" priority="8684" operator="greaterThan">
      <formula>1</formula>
    </cfRule>
    <cfRule type="cellIs" dxfId="6695" priority="8685" operator="between">
      <formula>0.95</formula>
      <formula>1</formula>
    </cfRule>
    <cfRule type="cellIs" dxfId="6694" priority="8686" stopIfTrue="1" operator="between">
      <formula>0</formula>
      <formula>0.5</formula>
    </cfRule>
  </conditionalFormatting>
  <conditionalFormatting sqref="U20">
    <cfRule type="cellIs" dxfId="6693" priority="8677" operator="between">
      <formula>0.76</formula>
      <formula>0.95</formula>
    </cfRule>
    <cfRule type="cellIs" dxfId="6692" priority="8678" operator="between">
      <formula>0.51</formula>
      <formula>0.75</formula>
    </cfRule>
    <cfRule type="cellIs" dxfId="6691" priority="8679" operator="greaterThan">
      <formula>1</formula>
    </cfRule>
    <cfRule type="cellIs" dxfId="6690" priority="8680" operator="between">
      <formula>0.95</formula>
      <formula>1</formula>
    </cfRule>
    <cfRule type="cellIs" dxfId="6689" priority="8681" stopIfTrue="1" operator="between">
      <formula>0</formula>
      <formula>0.5</formula>
    </cfRule>
  </conditionalFormatting>
  <conditionalFormatting sqref="U21">
    <cfRule type="cellIs" dxfId="6688" priority="8672" operator="between">
      <formula>0.76</formula>
      <formula>0.95</formula>
    </cfRule>
    <cfRule type="cellIs" dxfId="6687" priority="8673" operator="between">
      <formula>0.51</formula>
      <formula>0.75</formula>
    </cfRule>
    <cfRule type="cellIs" dxfId="6686" priority="8674" operator="greaterThan">
      <formula>1</formula>
    </cfRule>
    <cfRule type="cellIs" dxfId="6685" priority="8675" operator="between">
      <formula>0.95</formula>
      <formula>1</formula>
    </cfRule>
    <cfRule type="cellIs" dxfId="6684" priority="8676" stopIfTrue="1" operator="between">
      <formula>0</formula>
      <formula>0.5</formula>
    </cfRule>
  </conditionalFormatting>
  <conditionalFormatting sqref="U22">
    <cfRule type="cellIs" dxfId="6683" priority="8667" operator="between">
      <formula>0.76</formula>
      <formula>0.95</formula>
    </cfRule>
    <cfRule type="cellIs" dxfId="6682" priority="8668" operator="between">
      <formula>0.51</formula>
      <formula>0.75</formula>
    </cfRule>
    <cfRule type="cellIs" dxfId="6681" priority="8669" operator="greaterThan">
      <formula>1</formula>
    </cfRule>
    <cfRule type="cellIs" dxfId="6680" priority="8670" operator="between">
      <formula>0.95</formula>
      <formula>1</formula>
    </cfRule>
    <cfRule type="cellIs" dxfId="6679" priority="8671" stopIfTrue="1" operator="between">
      <formula>0</formula>
      <formula>0.5</formula>
    </cfRule>
  </conditionalFormatting>
  <conditionalFormatting sqref="U23">
    <cfRule type="cellIs" dxfId="6678" priority="8662" operator="between">
      <formula>0.76</formula>
      <formula>0.95</formula>
    </cfRule>
    <cfRule type="cellIs" dxfId="6677" priority="8663" operator="between">
      <formula>0.51</formula>
      <formula>0.75</formula>
    </cfRule>
    <cfRule type="cellIs" dxfId="6676" priority="8664" operator="greaterThan">
      <formula>1</formula>
    </cfRule>
    <cfRule type="cellIs" dxfId="6675" priority="8665" operator="between">
      <formula>0.95</formula>
      <formula>1</formula>
    </cfRule>
    <cfRule type="cellIs" dxfId="6674" priority="8666" stopIfTrue="1" operator="between">
      <formula>0</formula>
      <formula>0.5</formula>
    </cfRule>
  </conditionalFormatting>
  <conditionalFormatting sqref="U24">
    <cfRule type="cellIs" dxfId="6673" priority="8657" operator="between">
      <formula>0.76</formula>
      <formula>0.95</formula>
    </cfRule>
    <cfRule type="cellIs" dxfId="6672" priority="8658" operator="between">
      <formula>0.51</formula>
      <formula>0.75</formula>
    </cfRule>
    <cfRule type="cellIs" dxfId="6671" priority="8659" operator="greaterThan">
      <formula>1</formula>
    </cfRule>
    <cfRule type="cellIs" dxfId="6670" priority="8660" operator="between">
      <formula>0.95</formula>
      <formula>1</formula>
    </cfRule>
    <cfRule type="cellIs" dxfId="6669" priority="8661" stopIfTrue="1" operator="between">
      <formula>0</formula>
      <formula>0.5</formula>
    </cfRule>
  </conditionalFormatting>
  <conditionalFormatting sqref="U25">
    <cfRule type="cellIs" dxfId="6668" priority="8652" operator="between">
      <formula>0.76</formula>
      <formula>0.95</formula>
    </cfRule>
    <cfRule type="cellIs" dxfId="6667" priority="8653" operator="between">
      <formula>0.51</formula>
      <formula>0.75</formula>
    </cfRule>
    <cfRule type="cellIs" dxfId="6666" priority="8654" operator="greaterThan">
      <formula>1</formula>
    </cfRule>
    <cfRule type="cellIs" dxfId="6665" priority="8655" operator="between">
      <formula>0.95</formula>
      <formula>1</formula>
    </cfRule>
    <cfRule type="cellIs" dxfId="6664" priority="8656" stopIfTrue="1" operator="between">
      <formula>0</formula>
      <formula>0.5</formula>
    </cfRule>
  </conditionalFormatting>
  <conditionalFormatting sqref="U28">
    <cfRule type="cellIs" dxfId="6663" priority="8647" operator="between">
      <formula>0.76</formula>
      <formula>0.95</formula>
    </cfRule>
    <cfRule type="cellIs" dxfId="6662" priority="8648" operator="between">
      <formula>0.51</formula>
      <formula>0.75</formula>
    </cfRule>
    <cfRule type="cellIs" dxfId="6661" priority="8649" operator="greaterThan">
      <formula>1</formula>
    </cfRule>
    <cfRule type="cellIs" dxfId="6660" priority="8650" operator="between">
      <formula>0.95</formula>
      <formula>1</formula>
    </cfRule>
    <cfRule type="cellIs" dxfId="6659" priority="8651" stopIfTrue="1" operator="between">
      <formula>0</formula>
      <formula>0.5</formula>
    </cfRule>
  </conditionalFormatting>
  <conditionalFormatting sqref="U27">
    <cfRule type="cellIs" dxfId="6658" priority="8642" operator="between">
      <formula>0.76</formula>
      <formula>0.95</formula>
    </cfRule>
    <cfRule type="cellIs" dxfId="6657" priority="8643" operator="between">
      <formula>0.51</formula>
      <formula>0.75</formula>
    </cfRule>
    <cfRule type="cellIs" dxfId="6656" priority="8644" operator="greaterThan">
      <formula>1</formula>
    </cfRule>
    <cfRule type="cellIs" dxfId="6655" priority="8645" operator="between">
      <formula>0.95</formula>
      <formula>1</formula>
    </cfRule>
    <cfRule type="cellIs" dxfId="6654" priority="8646" stopIfTrue="1" operator="between">
      <formula>0</formula>
      <formula>0.5</formula>
    </cfRule>
  </conditionalFormatting>
  <conditionalFormatting sqref="U29">
    <cfRule type="cellIs" dxfId="6653" priority="8637" operator="between">
      <formula>0.76</formula>
      <formula>0.95</formula>
    </cfRule>
    <cfRule type="cellIs" dxfId="6652" priority="8638" operator="between">
      <formula>0.51</formula>
      <formula>0.75</formula>
    </cfRule>
    <cfRule type="cellIs" dxfId="6651" priority="8639" operator="greaterThan">
      <formula>1</formula>
    </cfRule>
    <cfRule type="cellIs" dxfId="6650" priority="8640" operator="between">
      <formula>0.95</formula>
      <formula>1</formula>
    </cfRule>
    <cfRule type="cellIs" dxfId="6649" priority="8641" stopIfTrue="1" operator="between">
      <formula>0</formula>
      <formula>0.5</formula>
    </cfRule>
  </conditionalFormatting>
  <conditionalFormatting sqref="U30">
    <cfRule type="cellIs" dxfId="6648" priority="8632" operator="between">
      <formula>0.76</formula>
      <formula>0.95</formula>
    </cfRule>
    <cfRule type="cellIs" dxfId="6647" priority="8633" operator="between">
      <formula>0.51</formula>
      <formula>0.75</formula>
    </cfRule>
    <cfRule type="cellIs" dxfId="6646" priority="8634" operator="greaterThan">
      <formula>1</formula>
    </cfRule>
    <cfRule type="cellIs" dxfId="6645" priority="8635" operator="between">
      <formula>0.95</formula>
      <formula>1</formula>
    </cfRule>
    <cfRule type="cellIs" dxfId="6644" priority="8636" stopIfTrue="1" operator="between">
      <formula>0</formula>
      <formula>0.5</formula>
    </cfRule>
  </conditionalFormatting>
  <conditionalFormatting sqref="U31">
    <cfRule type="cellIs" dxfId="6643" priority="8627" operator="between">
      <formula>0.76</formula>
      <formula>0.95</formula>
    </cfRule>
    <cfRule type="cellIs" dxfId="6642" priority="8628" operator="between">
      <formula>0.51</formula>
      <formula>0.75</formula>
    </cfRule>
    <cfRule type="cellIs" dxfId="6641" priority="8629" operator="greaterThan">
      <formula>1</formula>
    </cfRule>
    <cfRule type="cellIs" dxfId="6640" priority="8630" operator="between">
      <formula>0.95</formula>
      <formula>1</formula>
    </cfRule>
    <cfRule type="cellIs" dxfId="6639" priority="8631" stopIfTrue="1" operator="between">
      <formula>0</formula>
      <formula>0.5</formula>
    </cfRule>
  </conditionalFormatting>
  <conditionalFormatting sqref="U32">
    <cfRule type="cellIs" dxfId="6638" priority="8622" operator="between">
      <formula>0.76</formula>
      <formula>0.95</formula>
    </cfRule>
    <cfRule type="cellIs" dxfId="6637" priority="8623" operator="between">
      <formula>0.51</formula>
      <formula>0.75</formula>
    </cfRule>
    <cfRule type="cellIs" dxfId="6636" priority="8624" operator="greaterThan">
      <formula>1</formula>
    </cfRule>
    <cfRule type="cellIs" dxfId="6635" priority="8625" operator="between">
      <formula>0.95</formula>
      <formula>1</formula>
    </cfRule>
    <cfRule type="cellIs" dxfId="6634" priority="8626" stopIfTrue="1" operator="between">
      <formula>0</formula>
      <formula>0.5</formula>
    </cfRule>
  </conditionalFormatting>
  <conditionalFormatting sqref="U33">
    <cfRule type="cellIs" dxfId="6633" priority="8617" operator="between">
      <formula>0.76</formula>
      <formula>0.95</formula>
    </cfRule>
    <cfRule type="cellIs" dxfId="6632" priority="8618" operator="between">
      <formula>0.51</formula>
      <formula>0.75</formula>
    </cfRule>
    <cfRule type="cellIs" dxfId="6631" priority="8619" operator="greaterThan">
      <formula>1</formula>
    </cfRule>
    <cfRule type="cellIs" dxfId="6630" priority="8620" operator="between">
      <formula>0.95</formula>
      <formula>1</formula>
    </cfRule>
    <cfRule type="cellIs" dxfId="6629" priority="8621" stopIfTrue="1" operator="between">
      <formula>0</formula>
      <formula>0.5</formula>
    </cfRule>
  </conditionalFormatting>
  <conditionalFormatting sqref="U34">
    <cfRule type="cellIs" dxfId="6628" priority="8612" operator="between">
      <formula>0.76</formula>
      <formula>0.95</formula>
    </cfRule>
    <cfRule type="cellIs" dxfId="6627" priority="8613" operator="between">
      <formula>0.51</formula>
      <formula>0.75</formula>
    </cfRule>
    <cfRule type="cellIs" dxfId="6626" priority="8614" operator="greaterThan">
      <formula>1</formula>
    </cfRule>
    <cfRule type="cellIs" dxfId="6625" priority="8615" operator="between">
      <formula>0.95</formula>
      <formula>1</formula>
    </cfRule>
    <cfRule type="cellIs" dxfId="6624" priority="8616" stopIfTrue="1" operator="between">
      <formula>0</formula>
      <formula>0.5</formula>
    </cfRule>
  </conditionalFormatting>
  <conditionalFormatting sqref="U35">
    <cfRule type="cellIs" dxfId="6623" priority="8602" operator="between">
      <formula>0.76</formula>
      <formula>0.95</formula>
    </cfRule>
    <cfRule type="cellIs" dxfId="6622" priority="8603" operator="between">
      <formula>0.51</formula>
      <formula>0.75</formula>
    </cfRule>
    <cfRule type="cellIs" dxfId="6621" priority="8604" operator="greaterThan">
      <formula>1</formula>
    </cfRule>
    <cfRule type="cellIs" dxfId="6620" priority="8605" operator="between">
      <formula>0.95</formula>
      <formula>1</formula>
    </cfRule>
    <cfRule type="cellIs" dxfId="6619" priority="8606" stopIfTrue="1" operator="between">
      <formula>0</formula>
      <formula>0.5</formula>
    </cfRule>
  </conditionalFormatting>
  <conditionalFormatting sqref="U36">
    <cfRule type="cellIs" dxfId="6618" priority="8597" operator="between">
      <formula>0.76</formula>
      <formula>0.95</formula>
    </cfRule>
    <cfRule type="cellIs" dxfId="6617" priority="8598" operator="between">
      <formula>0.51</formula>
      <formula>0.75</formula>
    </cfRule>
    <cfRule type="cellIs" dxfId="6616" priority="8599" operator="greaterThan">
      <formula>1</formula>
    </cfRule>
    <cfRule type="cellIs" dxfId="6615" priority="8600" operator="between">
      <formula>0.95</formula>
      <formula>1</formula>
    </cfRule>
    <cfRule type="cellIs" dxfId="6614" priority="8601" stopIfTrue="1" operator="between">
      <formula>0</formula>
      <formula>0.5</formula>
    </cfRule>
  </conditionalFormatting>
  <conditionalFormatting sqref="U37">
    <cfRule type="cellIs" dxfId="6613" priority="8592" operator="between">
      <formula>0.76</formula>
      <formula>0.95</formula>
    </cfRule>
    <cfRule type="cellIs" dxfId="6612" priority="8593" operator="between">
      <formula>0.51</formula>
      <formula>0.75</formula>
    </cfRule>
    <cfRule type="cellIs" dxfId="6611" priority="8594" operator="greaterThan">
      <formula>1</formula>
    </cfRule>
    <cfRule type="cellIs" dxfId="6610" priority="8595" operator="between">
      <formula>0.95</formula>
      <formula>1</formula>
    </cfRule>
    <cfRule type="cellIs" dxfId="6609" priority="8596" stopIfTrue="1" operator="between">
      <formula>0</formula>
      <formula>0.5</formula>
    </cfRule>
  </conditionalFormatting>
  <conditionalFormatting sqref="U38">
    <cfRule type="cellIs" dxfId="6608" priority="8587" operator="between">
      <formula>0.76</formula>
      <formula>0.95</formula>
    </cfRule>
    <cfRule type="cellIs" dxfId="6607" priority="8588" operator="between">
      <formula>0.51</formula>
      <formula>0.75</formula>
    </cfRule>
    <cfRule type="cellIs" dxfId="6606" priority="8589" operator="greaterThan">
      <formula>1</formula>
    </cfRule>
    <cfRule type="cellIs" dxfId="6605" priority="8590" operator="between">
      <formula>0.95</formula>
      <formula>1</formula>
    </cfRule>
    <cfRule type="cellIs" dxfId="6604" priority="8591" stopIfTrue="1" operator="between">
      <formula>0</formula>
      <formula>0.5</formula>
    </cfRule>
  </conditionalFormatting>
  <conditionalFormatting sqref="U39">
    <cfRule type="cellIs" dxfId="6603" priority="8582" operator="between">
      <formula>0.76</formula>
      <formula>0.95</formula>
    </cfRule>
    <cfRule type="cellIs" dxfId="6602" priority="8583" operator="between">
      <formula>0.51</formula>
      <formula>0.75</formula>
    </cfRule>
    <cfRule type="cellIs" dxfId="6601" priority="8584" operator="greaterThan">
      <formula>1</formula>
    </cfRule>
    <cfRule type="cellIs" dxfId="6600" priority="8585" operator="between">
      <formula>0.95</formula>
      <formula>1</formula>
    </cfRule>
    <cfRule type="cellIs" dxfId="6599" priority="8586" stopIfTrue="1" operator="between">
      <formula>0</formula>
      <formula>0.5</formula>
    </cfRule>
  </conditionalFormatting>
  <conditionalFormatting sqref="U41">
    <cfRule type="cellIs" dxfId="6598" priority="8577" operator="between">
      <formula>0.76</formula>
      <formula>0.95</formula>
    </cfRule>
    <cfRule type="cellIs" dxfId="6597" priority="8578" operator="between">
      <formula>0.51</formula>
      <formula>0.75</formula>
    </cfRule>
    <cfRule type="cellIs" dxfId="6596" priority="8579" operator="greaterThan">
      <formula>1</formula>
    </cfRule>
    <cfRule type="cellIs" dxfId="6595" priority="8580" operator="between">
      <formula>0.95</formula>
      <formula>1</formula>
    </cfRule>
    <cfRule type="cellIs" dxfId="6594" priority="8581" stopIfTrue="1" operator="between">
      <formula>0</formula>
      <formula>0.5</formula>
    </cfRule>
  </conditionalFormatting>
  <conditionalFormatting sqref="U40">
    <cfRule type="cellIs" dxfId="6593" priority="8572" operator="between">
      <formula>0.76</formula>
      <formula>0.95</formula>
    </cfRule>
    <cfRule type="cellIs" dxfId="6592" priority="8573" operator="between">
      <formula>0.51</formula>
      <formula>0.75</formula>
    </cfRule>
    <cfRule type="cellIs" dxfId="6591" priority="8574" operator="greaterThan">
      <formula>1</formula>
    </cfRule>
    <cfRule type="cellIs" dxfId="6590" priority="8575" operator="between">
      <formula>0.95</formula>
      <formula>1</formula>
    </cfRule>
    <cfRule type="cellIs" dxfId="6589" priority="8576" stopIfTrue="1" operator="between">
      <formula>0</formula>
      <formula>0.5</formula>
    </cfRule>
  </conditionalFormatting>
  <conditionalFormatting sqref="U42">
    <cfRule type="cellIs" dxfId="6588" priority="8567" operator="between">
      <formula>0.76</formula>
      <formula>0.95</formula>
    </cfRule>
    <cfRule type="cellIs" dxfId="6587" priority="8568" operator="between">
      <formula>0.51</formula>
      <formula>0.75</formula>
    </cfRule>
    <cfRule type="cellIs" dxfId="6586" priority="8569" operator="greaterThan">
      <formula>1</formula>
    </cfRule>
    <cfRule type="cellIs" dxfId="6585" priority="8570" operator="between">
      <formula>0.95</formula>
      <formula>1</formula>
    </cfRule>
    <cfRule type="cellIs" dxfId="6584" priority="8571" stopIfTrue="1" operator="between">
      <formula>0</formula>
      <formula>0.5</formula>
    </cfRule>
  </conditionalFormatting>
  <conditionalFormatting sqref="U43">
    <cfRule type="cellIs" dxfId="6583" priority="8562" operator="between">
      <formula>0.76</formula>
      <formula>0.95</formula>
    </cfRule>
    <cfRule type="cellIs" dxfId="6582" priority="8563" operator="between">
      <formula>0.51</formula>
      <formula>0.75</formula>
    </cfRule>
    <cfRule type="cellIs" dxfId="6581" priority="8564" operator="greaterThan">
      <formula>1</formula>
    </cfRule>
    <cfRule type="cellIs" dxfId="6580" priority="8565" operator="between">
      <formula>0.95</formula>
      <formula>1</formula>
    </cfRule>
    <cfRule type="cellIs" dxfId="6579" priority="8566" stopIfTrue="1" operator="between">
      <formula>0</formula>
      <formula>0.5</formula>
    </cfRule>
  </conditionalFormatting>
  <conditionalFormatting sqref="U44">
    <cfRule type="cellIs" dxfId="6578" priority="8557" operator="between">
      <formula>0.76</formula>
      <formula>0.95</formula>
    </cfRule>
    <cfRule type="cellIs" dxfId="6577" priority="8558" operator="between">
      <formula>0.51</formula>
      <formula>0.75</formula>
    </cfRule>
    <cfRule type="cellIs" dxfId="6576" priority="8559" operator="greaterThan">
      <formula>1</formula>
    </cfRule>
    <cfRule type="cellIs" dxfId="6575" priority="8560" operator="between">
      <formula>0.95</formula>
      <formula>1</formula>
    </cfRule>
    <cfRule type="cellIs" dxfId="6574" priority="8561" stopIfTrue="1" operator="between">
      <formula>0</formula>
      <formula>0.5</formula>
    </cfRule>
  </conditionalFormatting>
  <conditionalFormatting sqref="U46">
    <cfRule type="cellIs" dxfId="6573" priority="8552" operator="between">
      <formula>0.76</formula>
      <formula>0.95</formula>
    </cfRule>
    <cfRule type="cellIs" dxfId="6572" priority="8553" operator="between">
      <formula>0.51</formula>
      <formula>0.75</formula>
    </cfRule>
    <cfRule type="cellIs" dxfId="6571" priority="8554" operator="greaterThan">
      <formula>1</formula>
    </cfRule>
    <cfRule type="cellIs" dxfId="6570" priority="8555" operator="between">
      <formula>0.95</formula>
      <formula>1</formula>
    </cfRule>
    <cfRule type="cellIs" dxfId="6569" priority="8556" stopIfTrue="1" operator="between">
      <formula>0</formula>
      <formula>0.5</formula>
    </cfRule>
  </conditionalFormatting>
  <conditionalFormatting sqref="U45">
    <cfRule type="cellIs" dxfId="6568" priority="8547" operator="between">
      <formula>0.76</formula>
      <formula>0.95</formula>
    </cfRule>
    <cfRule type="cellIs" dxfId="6567" priority="8548" operator="between">
      <formula>0.51</formula>
      <formula>0.75</formula>
    </cfRule>
    <cfRule type="cellIs" dxfId="6566" priority="8549" operator="greaterThan">
      <formula>1</formula>
    </cfRule>
    <cfRule type="cellIs" dxfId="6565" priority="8550" operator="between">
      <formula>0.95</formula>
      <formula>1</formula>
    </cfRule>
    <cfRule type="cellIs" dxfId="6564" priority="8551" stopIfTrue="1" operator="between">
      <formula>0</formula>
      <formula>0.5</formula>
    </cfRule>
  </conditionalFormatting>
  <conditionalFormatting sqref="U47">
    <cfRule type="cellIs" dxfId="6563" priority="8542" operator="between">
      <formula>0.76</formula>
      <formula>0.95</formula>
    </cfRule>
    <cfRule type="cellIs" dxfId="6562" priority="8543" operator="between">
      <formula>0.51</formula>
      <formula>0.75</formula>
    </cfRule>
    <cfRule type="cellIs" dxfId="6561" priority="8544" operator="greaterThan">
      <formula>1</formula>
    </cfRule>
    <cfRule type="cellIs" dxfId="6560" priority="8545" operator="between">
      <formula>0.95</formula>
      <formula>1</formula>
    </cfRule>
    <cfRule type="cellIs" dxfId="6559" priority="8546" stopIfTrue="1" operator="between">
      <formula>0</formula>
      <formula>0.5</formula>
    </cfRule>
  </conditionalFormatting>
  <conditionalFormatting sqref="U48">
    <cfRule type="cellIs" dxfId="6558" priority="8537" operator="between">
      <formula>0.76</formula>
      <formula>0.95</formula>
    </cfRule>
    <cfRule type="cellIs" dxfId="6557" priority="8538" operator="between">
      <formula>0.51</formula>
      <formula>0.75</formula>
    </cfRule>
    <cfRule type="cellIs" dxfId="6556" priority="8539" operator="greaterThan">
      <formula>1</formula>
    </cfRule>
    <cfRule type="cellIs" dxfId="6555" priority="8540" operator="between">
      <formula>0.95</formula>
      <formula>1</formula>
    </cfRule>
    <cfRule type="cellIs" dxfId="6554" priority="8541" stopIfTrue="1" operator="between">
      <formula>0</formula>
      <formula>0.5</formula>
    </cfRule>
  </conditionalFormatting>
  <conditionalFormatting sqref="U49">
    <cfRule type="cellIs" dxfId="6553" priority="8532" operator="between">
      <formula>0.76</formula>
      <formula>0.95</formula>
    </cfRule>
    <cfRule type="cellIs" dxfId="6552" priority="8533" operator="between">
      <formula>0.51</formula>
      <formula>0.75</formula>
    </cfRule>
    <cfRule type="cellIs" dxfId="6551" priority="8534" operator="greaterThan">
      <formula>1</formula>
    </cfRule>
    <cfRule type="cellIs" dxfId="6550" priority="8535" operator="between">
      <formula>0.95</formula>
      <formula>1</formula>
    </cfRule>
    <cfRule type="cellIs" dxfId="6549" priority="8536" stopIfTrue="1" operator="between">
      <formula>0</formula>
      <formula>0.5</formula>
    </cfRule>
  </conditionalFormatting>
  <conditionalFormatting sqref="U50">
    <cfRule type="cellIs" dxfId="6548" priority="8527" operator="between">
      <formula>0.76</formula>
      <formula>0.95</formula>
    </cfRule>
    <cfRule type="cellIs" dxfId="6547" priority="8528" operator="between">
      <formula>0.51</formula>
      <formula>0.75</formula>
    </cfRule>
    <cfRule type="cellIs" dxfId="6546" priority="8529" operator="greaterThan">
      <formula>1</formula>
    </cfRule>
    <cfRule type="cellIs" dxfId="6545" priority="8530" operator="between">
      <formula>0.95</formula>
      <formula>1</formula>
    </cfRule>
    <cfRule type="cellIs" dxfId="6544" priority="8531" stopIfTrue="1" operator="between">
      <formula>0</formula>
      <formula>0.5</formula>
    </cfRule>
  </conditionalFormatting>
  <conditionalFormatting sqref="U51">
    <cfRule type="cellIs" dxfId="6543" priority="8522" operator="between">
      <formula>0.76</formula>
      <formula>0.95</formula>
    </cfRule>
    <cfRule type="cellIs" dxfId="6542" priority="8523" operator="between">
      <formula>0.51</formula>
      <formula>0.75</formula>
    </cfRule>
    <cfRule type="cellIs" dxfId="6541" priority="8524" operator="greaterThan">
      <formula>1</formula>
    </cfRule>
    <cfRule type="cellIs" dxfId="6540" priority="8525" operator="between">
      <formula>0.95</formula>
      <formula>1</formula>
    </cfRule>
    <cfRule type="cellIs" dxfId="6539" priority="8526" stopIfTrue="1" operator="between">
      <formula>0</formula>
      <formula>0.5</formula>
    </cfRule>
  </conditionalFormatting>
  <conditionalFormatting sqref="U52">
    <cfRule type="cellIs" dxfId="6538" priority="8517" operator="between">
      <formula>0.76</formula>
      <formula>0.95</formula>
    </cfRule>
    <cfRule type="cellIs" dxfId="6537" priority="8518" operator="between">
      <formula>0.51</formula>
      <formula>0.75</formula>
    </cfRule>
    <cfRule type="cellIs" dxfId="6536" priority="8519" operator="greaterThan">
      <formula>1</formula>
    </cfRule>
    <cfRule type="cellIs" dxfId="6535" priority="8520" operator="between">
      <formula>0.95</formula>
      <formula>1</formula>
    </cfRule>
    <cfRule type="cellIs" dxfId="6534" priority="8521" stopIfTrue="1" operator="between">
      <formula>0</formula>
      <formula>0.5</formula>
    </cfRule>
  </conditionalFormatting>
  <conditionalFormatting sqref="U53">
    <cfRule type="cellIs" dxfId="6533" priority="8512" operator="between">
      <formula>0.76</formula>
      <formula>0.95</formula>
    </cfRule>
    <cfRule type="cellIs" dxfId="6532" priority="8513" operator="between">
      <formula>0.51</formula>
      <formula>0.75</formula>
    </cfRule>
    <cfRule type="cellIs" dxfId="6531" priority="8514" operator="greaterThan">
      <formula>1</formula>
    </cfRule>
    <cfRule type="cellIs" dxfId="6530" priority="8515" operator="between">
      <formula>0.95</formula>
      <formula>1</formula>
    </cfRule>
    <cfRule type="cellIs" dxfId="6529" priority="8516" stopIfTrue="1" operator="between">
      <formula>0</formula>
      <formula>0.5</formula>
    </cfRule>
  </conditionalFormatting>
  <conditionalFormatting sqref="U54">
    <cfRule type="cellIs" dxfId="6528" priority="8507" operator="between">
      <formula>0.76</formula>
      <formula>0.95</formula>
    </cfRule>
    <cfRule type="cellIs" dxfId="6527" priority="8508" operator="between">
      <formula>0.51</formula>
      <formula>0.75</formula>
    </cfRule>
    <cfRule type="cellIs" dxfId="6526" priority="8509" operator="greaterThan">
      <formula>1</formula>
    </cfRule>
    <cfRule type="cellIs" dxfId="6525" priority="8510" operator="between">
      <formula>0.95</formula>
      <formula>1</formula>
    </cfRule>
    <cfRule type="cellIs" dxfId="6524" priority="8511" stopIfTrue="1" operator="between">
      <formula>0</formula>
      <formula>0.5</formula>
    </cfRule>
  </conditionalFormatting>
  <conditionalFormatting sqref="U55">
    <cfRule type="cellIs" dxfId="6523" priority="8502" operator="between">
      <formula>0.76</formula>
      <formula>0.95</formula>
    </cfRule>
    <cfRule type="cellIs" dxfId="6522" priority="8503" operator="between">
      <formula>0.51</formula>
      <formula>0.75</formula>
    </cfRule>
    <cfRule type="cellIs" dxfId="6521" priority="8504" operator="greaterThan">
      <formula>1</formula>
    </cfRule>
    <cfRule type="cellIs" dxfId="6520" priority="8505" operator="between">
      <formula>0.95</formula>
      <formula>1</formula>
    </cfRule>
    <cfRule type="cellIs" dxfId="6519" priority="8506" stopIfTrue="1" operator="between">
      <formula>0</formula>
      <formula>0.5</formula>
    </cfRule>
  </conditionalFormatting>
  <conditionalFormatting sqref="U56">
    <cfRule type="cellIs" dxfId="6518" priority="8497" operator="between">
      <formula>0.76</formula>
      <formula>0.95</formula>
    </cfRule>
    <cfRule type="cellIs" dxfId="6517" priority="8498" operator="between">
      <formula>0.51</formula>
      <formula>0.75</formula>
    </cfRule>
    <cfRule type="cellIs" dxfId="6516" priority="8499" operator="greaterThan">
      <formula>1</formula>
    </cfRule>
    <cfRule type="cellIs" dxfId="6515" priority="8500" operator="between">
      <formula>0.95</formula>
      <formula>1</formula>
    </cfRule>
    <cfRule type="cellIs" dxfId="6514" priority="8501" stopIfTrue="1" operator="between">
      <formula>0</formula>
      <formula>0.5</formula>
    </cfRule>
  </conditionalFormatting>
  <conditionalFormatting sqref="U57">
    <cfRule type="cellIs" dxfId="6513" priority="8492" operator="between">
      <formula>0.76</formula>
      <formula>0.95</formula>
    </cfRule>
    <cfRule type="cellIs" dxfId="6512" priority="8493" operator="between">
      <formula>0.51</formula>
      <formula>0.75</formula>
    </cfRule>
    <cfRule type="cellIs" dxfId="6511" priority="8494" operator="greaterThan">
      <formula>1</formula>
    </cfRule>
    <cfRule type="cellIs" dxfId="6510" priority="8495" operator="between">
      <formula>0.95</formula>
      <formula>1</formula>
    </cfRule>
    <cfRule type="cellIs" dxfId="6509" priority="8496" stopIfTrue="1" operator="between">
      <formula>0</formula>
      <formula>0.5</formula>
    </cfRule>
  </conditionalFormatting>
  <conditionalFormatting sqref="U58">
    <cfRule type="cellIs" dxfId="6508" priority="8477" operator="between">
      <formula>0.76</formula>
      <formula>0.95</formula>
    </cfRule>
    <cfRule type="cellIs" dxfId="6507" priority="8478" operator="between">
      <formula>0.51</formula>
      <formula>0.75</formula>
    </cfRule>
    <cfRule type="cellIs" dxfId="6506" priority="8479" operator="greaterThan">
      <formula>1</formula>
    </cfRule>
    <cfRule type="cellIs" dxfId="6505" priority="8480" operator="between">
      <formula>0.95</formula>
      <formula>1</formula>
    </cfRule>
    <cfRule type="cellIs" dxfId="6504" priority="8481" stopIfTrue="1" operator="between">
      <formula>0</formula>
      <formula>0.5</formula>
    </cfRule>
  </conditionalFormatting>
  <conditionalFormatting sqref="U59">
    <cfRule type="cellIs" dxfId="6503" priority="8472" operator="between">
      <formula>0.76</formula>
      <formula>0.95</formula>
    </cfRule>
    <cfRule type="cellIs" dxfId="6502" priority="8473" operator="between">
      <formula>0.51</formula>
      <formula>0.75</formula>
    </cfRule>
    <cfRule type="cellIs" dxfId="6501" priority="8474" operator="greaterThan">
      <formula>1</formula>
    </cfRule>
    <cfRule type="cellIs" dxfId="6500" priority="8475" operator="between">
      <formula>0.95</formula>
      <formula>1</formula>
    </cfRule>
    <cfRule type="cellIs" dxfId="6499" priority="8476" stopIfTrue="1" operator="between">
      <formula>0</formula>
      <formula>0.5</formula>
    </cfRule>
  </conditionalFormatting>
  <conditionalFormatting sqref="U60">
    <cfRule type="cellIs" dxfId="6498" priority="8467" operator="between">
      <formula>0.76</formula>
      <formula>0.95</formula>
    </cfRule>
    <cfRule type="cellIs" dxfId="6497" priority="8468" operator="between">
      <formula>0.51</formula>
      <formula>0.75</formula>
    </cfRule>
    <cfRule type="cellIs" dxfId="6496" priority="8469" operator="greaterThan">
      <formula>1</formula>
    </cfRule>
    <cfRule type="cellIs" dxfId="6495" priority="8470" operator="between">
      <formula>0.95</formula>
      <formula>1</formula>
    </cfRule>
    <cfRule type="cellIs" dxfId="6494" priority="8471" stopIfTrue="1" operator="between">
      <formula>0</formula>
      <formula>0.5</formula>
    </cfRule>
  </conditionalFormatting>
  <conditionalFormatting sqref="U61">
    <cfRule type="cellIs" dxfId="6493" priority="8457" operator="between">
      <formula>0.76</formula>
      <formula>0.95</formula>
    </cfRule>
    <cfRule type="cellIs" dxfId="6492" priority="8458" operator="between">
      <formula>0.51</formula>
      <formula>0.75</formula>
    </cfRule>
    <cfRule type="cellIs" dxfId="6491" priority="8459" operator="greaterThan">
      <formula>1</formula>
    </cfRule>
    <cfRule type="cellIs" dxfId="6490" priority="8460" operator="between">
      <formula>0.95</formula>
      <formula>1</formula>
    </cfRule>
    <cfRule type="cellIs" dxfId="6489" priority="8461" stopIfTrue="1" operator="between">
      <formula>0</formula>
      <formula>0.5</formula>
    </cfRule>
  </conditionalFormatting>
  <conditionalFormatting sqref="U63">
    <cfRule type="cellIs" dxfId="6488" priority="8452" operator="between">
      <formula>0.76</formula>
      <formula>0.95</formula>
    </cfRule>
    <cfRule type="cellIs" dxfId="6487" priority="8453" operator="between">
      <formula>0.51</formula>
      <formula>0.75</formula>
    </cfRule>
    <cfRule type="cellIs" dxfId="6486" priority="8454" operator="greaterThan">
      <formula>1</formula>
    </cfRule>
    <cfRule type="cellIs" dxfId="6485" priority="8455" operator="between">
      <formula>0.95</formula>
      <formula>1</formula>
    </cfRule>
    <cfRule type="cellIs" dxfId="6484" priority="8456" stopIfTrue="1" operator="between">
      <formula>0</formula>
      <formula>0.5</formula>
    </cfRule>
  </conditionalFormatting>
  <conditionalFormatting sqref="U64">
    <cfRule type="cellIs" dxfId="6483" priority="8447" operator="between">
      <formula>0.76</formula>
      <formula>0.95</formula>
    </cfRule>
    <cfRule type="cellIs" dxfId="6482" priority="8448" operator="between">
      <formula>0.51</formula>
      <formula>0.75</formula>
    </cfRule>
    <cfRule type="cellIs" dxfId="6481" priority="8449" operator="greaterThan">
      <formula>1</formula>
    </cfRule>
    <cfRule type="cellIs" dxfId="6480" priority="8450" operator="between">
      <formula>0.95</formula>
      <formula>1</formula>
    </cfRule>
    <cfRule type="cellIs" dxfId="6479" priority="8451" stopIfTrue="1" operator="between">
      <formula>0</formula>
      <formula>0.5</formula>
    </cfRule>
  </conditionalFormatting>
  <conditionalFormatting sqref="U65">
    <cfRule type="cellIs" dxfId="6478" priority="8442" operator="between">
      <formula>0.76</formula>
      <formula>0.95</formula>
    </cfRule>
    <cfRule type="cellIs" dxfId="6477" priority="8443" operator="between">
      <formula>0.51</formula>
      <formula>0.75</formula>
    </cfRule>
    <cfRule type="cellIs" dxfId="6476" priority="8444" operator="greaterThan">
      <formula>1</formula>
    </cfRule>
    <cfRule type="cellIs" dxfId="6475" priority="8445" operator="between">
      <formula>0.95</formula>
      <formula>1</formula>
    </cfRule>
    <cfRule type="cellIs" dxfId="6474" priority="8446" stopIfTrue="1" operator="between">
      <formula>0</formula>
      <formula>0.5</formula>
    </cfRule>
  </conditionalFormatting>
  <conditionalFormatting sqref="U66">
    <cfRule type="cellIs" dxfId="6473" priority="8437" operator="between">
      <formula>0.76</formula>
      <formula>0.95</formula>
    </cfRule>
    <cfRule type="cellIs" dxfId="6472" priority="8438" operator="between">
      <formula>0.51</formula>
      <formula>0.75</formula>
    </cfRule>
    <cfRule type="cellIs" dxfId="6471" priority="8439" operator="greaterThan">
      <formula>1</formula>
    </cfRule>
    <cfRule type="cellIs" dxfId="6470" priority="8440" operator="between">
      <formula>0.95</formula>
      <formula>1</formula>
    </cfRule>
    <cfRule type="cellIs" dxfId="6469" priority="8441" stopIfTrue="1" operator="between">
      <formula>0</formula>
      <formula>0.5</formula>
    </cfRule>
  </conditionalFormatting>
  <conditionalFormatting sqref="U67">
    <cfRule type="cellIs" dxfId="6468" priority="8432" operator="between">
      <formula>0.76</formula>
      <formula>0.95</formula>
    </cfRule>
    <cfRule type="cellIs" dxfId="6467" priority="8433" operator="between">
      <formula>0.51</formula>
      <formula>0.75</formula>
    </cfRule>
    <cfRule type="cellIs" dxfId="6466" priority="8434" operator="greaterThan">
      <formula>1</formula>
    </cfRule>
    <cfRule type="cellIs" dxfId="6465" priority="8435" operator="between">
      <formula>0.95</formula>
      <formula>1</formula>
    </cfRule>
    <cfRule type="cellIs" dxfId="6464" priority="8436" stopIfTrue="1" operator="between">
      <formula>0</formula>
      <formula>0.5</formula>
    </cfRule>
  </conditionalFormatting>
  <conditionalFormatting sqref="U68">
    <cfRule type="cellIs" dxfId="6463" priority="8427" operator="between">
      <formula>0.76</formula>
      <formula>0.95</formula>
    </cfRule>
    <cfRule type="cellIs" dxfId="6462" priority="8428" operator="between">
      <formula>0.51</formula>
      <formula>0.75</formula>
    </cfRule>
    <cfRule type="cellIs" dxfId="6461" priority="8429" operator="greaterThan">
      <formula>1</formula>
    </cfRule>
    <cfRule type="cellIs" dxfId="6460" priority="8430" operator="between">
      <formula>0.95</formula>
      <formula>1</formula>
    </cfRule>
    <cfRule type="cellIs" dxfId="6459" priority="8431" stopIfTrue="1" operator="between">
      <formula>0</formula>
      <formula>0.5</formula>
    </cfRule>
  </conditionalFormatting>
  <conditionalFormatting sqref="U69">
    <cfRule type="cellIs" dxfId="6458" priority="8422" operator="between">
      <formula>0.76</formula>
      <formula>0.95</formula>
    </cfRule>
    <cfRule type="cellIs" dxfId="6457" priority="8423" operator="between">
      <formula>0.51</formula>
      <formula>0.75</formula>
    </cfRule>
    <cfRule type="cellIs" dxfId="6456" priority="8424" operator="greaterThan">
      <formula>1</formula>
    </cfRule>
    <cfRule type="cellIs" dxfId="6455" priority="8425" operator="between">
      <formula>0.95</formula>
      <formula>1</formula>
    </cfRule>
    <cfRule type="cellIs" dxfId="6454" priority="8426" stopIfTrue="1" operator="between">
      <formula>0</formula>
      <formula>0.5</formula>
    </cfRule>
  </conditionalFormatting>
  <conditionalFormatting sqref="U70">
    <cfRule type="cellIs" dxfId="6453" priority="8417" operator="between">
      <formula>0.76</formula>
      <formula>0.95</formula>
    </cfRule>
    <cfRule type="cellIs" dxfId="6452" priority="8418" operator="between">
      <formula>0.51</formula>
      <formula>0.75</formula>
    </cfRule>
    <cfRule type="cellIs" dxfId="6451" priority="8419" operator="greaterThan">
      <formula>1</formula>
    </cfRule>
    <cfRule type="cellIs" dxfId="6450" priority="8420" operator="between">
      <formula>0.95</formula>
      <formula>1</formula>
    </cfRule>
    <cfRule type="cellIs" dxfId="6449" priority="8421" stopIfTrue="1" operator="between">
      <formula>0</formula>
      <formula>0.5</formula>
    </cfRule>
  </conditionalFormatting>
  <conditionalFormatting sqref="U71">
    <cfRule type="cellIs" dxfId="6448" priority="8412" operator="between">
      <formula>0.76</formula>
      <formula>0.95</formula>
    </cfRule>
    <cfRule type="cellIs" dxfId="6447" priority="8413" operator="between">
      <formula>0.51</formula>
      <formula>0.75</formula>
    </cfRule>
    <cfRule type="cellIs" dxfId="6446" priority="8414" operator="greaterThan">
      <formula>1</formula>
    </cfRule>
    <cfRule type="cellIs" dxfId="6445" priority="8415" operator="between">
      <formula>0.95</formula>
      <formula>1</formula>
    </cfRule>
    <cfRule type="cellIs" dxfId="6444" priority="8416" stopIfTrue="1" operator="between">
      <formula>0</formula>
      <formula>0.5</formula>
    </cfRule>
  </conditionalFormatting>
  <conditionalFormatting sqref="U72">
    <cfRule type="cellIs" dxfId="6443" priority="8407" operator="between">
      <formula>0.76</formula>
      <formula>0.95</formula>
    </cfRule>
    <cfRule type="cellIs" dxfId="6442" priority="8408" operator="between">
      <formula>0.51</formula>
      <formula>0.75</formula>
    </cfRule>
    <cfRule type="cellIs" dxfId="6441" priority="8409" operator="greaterThan">
      <formula>1</formula>
    </cfRule>
    <cfRule type="cellIs" dxfId="6440" priority="8410" operator="between">
      <formula>0.95</formula>
      <formula>1</formula>
    </cfRule>
    <cfRule type="cellIs" dxfId="6439" priority="8411" stopIfTrue="1" operator="between">
      <formula>0</formula>
      <formula>0.5</formula>
    </cfRule>
  </conditionalFormatting>
  <conditionalFormatting sqref="U73">
    <cfRule type="cellIs" dxfId="6438" priority="8402" operator="between">
      <formula>0.76</formula>
      <formula>0.95</formula>
    </cfRule>
    <cfRule type="cellIs" dxfId="6437" priority="8403" operator="between">
      <formula>0.51</formula>
      <formula>0.75</formula>
    </cfRule>
    <cfRule type="cellIs" dxfId="6436" priority="8404" operator="greaterThan">
      <formula>1</formula>
    </cfRule>
    <cfRule type="cellIs" dxfId="6435" priority="8405" operator="between">
      <formula>0.95</formula>
      <formula>1</formula>
    </cfRule>
    <cfRule type="cellIs" dxfId="6434" priority="8406" stopIfTrue="1" operator="between">
      <formula>0</formula>
      <formula>0.5</formula>
    </cfRule>
  </conditionalFormatting>
  <conditionalFormatting sqref="U74">
    <cfRule type="cellIs" dxfId="6433" priority="8397" operator="between">
      <formula>0.76</formula>
      <formula>0.95</formula>
    </cfRule>
    <cfRule type="cellIs" dxfId="6432" priority="8398" operator="between">
      <formula>0.51</formula>
      <formula>0.75</formula>
    </cfRule>
    <cfRule type="cellIs" dxfId="6431" priority="8399" operator="greaterThan">
      <formula>1</formula>
    </cfRule>
    <cfRule type="cellIs" dxfId="6430" priority="8400" operator="between">
      <formula>0.95</formula>
      <formula>1</formula>
    </cfRule>
    <cfRule type="cellIs" dxfId="6429" priority="8401" stopIfTrue="1" operator="between">
      <formula>0</formula>
      <formula>0.5</formula>
    </cfRule>
  </conditionalFormatting>
  <conditionalFormatting sqref="U75">
    <cfRule type="cellIs" dxfId="6428" priority="8392" operator="between">
      <formula>0.76</formula>
      <formula>0.95</formula>
    </cfRule>
    <cfRule type="cellIs" dxfId="6427" priority="8393" operator="between">
      <formula>0.51</formula>
      <formula>0.75</formula>
    </cfRule>
    <cfRule type="cellIs" dxfId="6426" priority="8394" operator="greaterThan">
      <formula>1</formula>
    </cfRule>
    <cfRule type="cellIs" dxfId="6425" priority="8395" operator="between">
      <formula>0.95</formula>
      <formula>1</formula>
    </cfRule>
    <cfRule type="cellIs" dxfId="6424" priority="8396" stopIfTrue="1" operator="between">
      <formula>0</formula>
      <formula>0.5</formula>
    </cfRule>
  </conditionalFormatting>
  <conditionalFormatting sqref="U79">
    <cfRule type="cellIs" dxfId="6423" priority="8387" operator="between">
      <formula>0.76</formula>
      <formula>0.95</formula>
    </cfRule>
    <cfRule type="cellIs" dxfId="6422" priority="8388" operator="between">
      <formula>0.51</formula>
      <formula>0.75</formula>
    </cfRule>
    <cfRule type="cellIs" dxfId="6421" priority="8389" operator="greaterThan">
      <formula>1</formula>
    </cfRule>
    <cfRule type="cellIs" dxfId="6420" priority="8390" operator="between">
      <formula>0.95</formula>
      <formula>1</formula>
    </cfRule>
    <cfRule type="cellIs" dxfId="6419" priority="8391" stopIfTrue="1" operator="between">
      <formula>0</formula>
      <formula>0.5</formula>
    </cfRule>
  </conditionalFormatting>
  <conditionalFormatting sqref="U78">
    <cfRule type="cellIs" dxfId="6418" priority="8382" operator="between">
      <formula>0.76</formula>
      <formula>0.95</formula>
    </cfRule>
    <cfRule type="cellIs" dxfId="6417" priority="8383" operator="between">
      <formula>0.51</formula>
      <formula>0.75</formula>
    </cfRule>
    <cfRule type="cellIs" dxfId="6416" priority="8384" operator="greaterThan">
      <formula>1</formula>
    </cfRule>
    <cfRule type="cellIs" dxfId="6415" priority="8385" operator="between">
      <formula>0.95</formula>
      <formula>1</formula>
    </cfRule>
    <cfRule type="cellIs" dxfId="6414" priority="8386" stopIfTrue="1" operator="between">
      <formula>0</formula>
      <formula>0.5</formula>
    </cfRule>
  </conditionalFormatting>
  <conditionalFormatting sqref="U80">
    <cfRule type="cellIs" dxfId="6413" priority="8377" operator="between">
      <formula>0.76</formula>
      <formula>0.95</formula>
    </cfRule>
    <cfRule type="cellIs" dxfId="6412" priority="8378" operator="between">
      <formula>0.51</formula>
      <formula>0.75</formula>
    </cfRule>
    <cfRule type="cellIs" dxfId="6411" priority="8379" operator="greaterThan">
      <formula>1</formula>
    </cfRule>
    <cfRule type="cellIs" dxfId="6410" priority="8380" operator="between">
      <formula>0.95</formula>
      <formula>1</formula>
    </cfRule>
    <cfRule type="cellIs" dxfId="6409" priority="8381" stopIfTrue="1" operator="between">
      <formula>0</formula>
      <formula>0.5</formula>
    </cfRule>
  </conditionalFormatting>
  <conditionalFormatting sqref="U81">
    <cfRule type="cellIs" dxfId="6408" priority="8372" operator="between">
      <formula>0.76</formula>
      <formula>0.95</formula>
    </cfRule>
    <cfRule type="cellIs" dxfId="6407" priority="8373" operator="between">
      <formula>0.51</formula>
      <formula>0.75</formula>
    </cfRule>
    <cfRule type="cellIs" dxfId="6406" priority="8374" operator="greaterThan">
      <formula>1</formula>
    </cfRule>
    <cfRule type="cellIs" dxfId="6405" priority="8375" operator="between">
      <formula>0.95</formula>
      <formula>1</formula>
    </cfRule>
    <cfRule type="cellIs" dxfId="6404" priority="8376" stopIfTrue="1" operator="between">
      <formula>0</formula>
      <formula>0.5</formula>
    </cfRule>
  </conditionalFormatting>
  <conditionalFormatting sqref="U82">
    <cfRule type="cellIs" dxfId="6403" priority="8367" operator="between">
      <formula>0.76</formula>
      <formula>0.95</formula>
    </cfRule>
    <cfRule type="cellIs" dxfId="6402" priority="8368" operator="between">
      <formula>0.51</formula>
      <formula>0.75</formula>
    </cfRule>
    <cfRule type="cellIs" dxfId="6401" priority="8369" operator="greaterThan">
      <formula>1</formula>
    </cfRule>
    <cfRule type="cellIs" dxfId="6400" priority="8370" operator="between">
      <formula>0.95</formula>
      <formula>1</formula>
    </cfRule>
    <cfRule type="cellIs" dxfId="6399" priority="8371" stopIfTrue="1" operator="between">
      <formula>0</formula>
      <formula>0.5</formula>
    </cfRule>
  </conditionalFormatting>
  <conditionalFormatting sqref="U83">
    <cfRule type="cellIs" dxfId="6398" priority="8362" operator="between">
      <formula>0.76</formula>
      <formula>0.95</formula>
    </cfRule>
    <cfRule type="cellIs" dxfId="6397" priority="8363" operator="between">
      <formula>0.51</formula>
      <formula>0.75</formula>
    </cfRule>
    <cfRule type="cellIs" dxfId="6396" priority="8364" operator="greaterThan">
      <formula>1</formula>
    </cfRule>
    <cfRule type="cellIs" dxfId="6395" priority="8365" operator="between">
      <formula>0.95</formula>
      <formula>1</formula>
    </cfRule>
    <cfRule type="cellIs" dxfId="6394" priority="8366" stopIfTrue="1" operator="between">
      <formula>0</formula>
      <formula>0.5</formula>
    </cfRule>
  </conditionalFormatting>
  <conditionalFormatting sqref="U88">
    <cfRule type="cellIs" dxfId="6393" priority="8342" operator="between">
      <formula>0.76</formula>
      <formula>0.95</formula>
    </cfRule>
    <cfRule type="cellIs" dxfId="6392" priority="8343" operator="between">
      <formula>0.51</formula>
      <formula>0.75</formula>
    </cfRule>
    <cfRule type="cellIs" dxfId="6391" priority="8344" operator="greaterThan">
      <formula>1</formula>
    </cfRule>
    <cfRule type="cellIs" dxfId="6390" priority="8345" operator="between">
      <formula>0.95</formula>
      <formula>1</formula>
    </cfRule>
    <cfRule type="cellIs" dxfId="6389" priority="8346" stopIfTrue="1" operator="between">
      <formula>0</formula>
      <formula>0.5</formula>
    </cfRule>
  </conditionalFormatting>
  <conditionalFormatting sqref="U92">
    <cfRule type="cellIs" dxfId="6388" priority="8337" operator="between">
      <formula>0.76</formula>
      <formula>0.95</formula>
    </cfRule>
    <cfRule type="cellIs" dxfId="6387" priority="8338" operator="between">
      <formula>0.51</formula>
      <formula>0.75</formula>
    </cfRule>
    <cfRule type="cellIs" dxfId="6386" priority="8339" operator="greaterThan">
      <formula>1</formula>
    </cfRule>
    <cfRule type="cellIs" dxfId="6385" priority="8340" operator="between">
      <formula>0.95</formula>
      <formula>1</formula>
    </cfRule>
    <cfRule type="cellIs" dxfId="6384" priority="8341" stopIfTrue="1" operator="between">
      <formula>0</formula>
      <formula>0.5</formula>
    </cfRule>
  </conditionalFormatting>
  <conditionalFormatting sqref="U91">
    <cfRule type="cellIs" dxfId="6383" priority="8332" operator="between">
      <formula>0.76</formula>
      <formula>0.95</formula>
    </cfRule>
    <cfRule type="cellIs" dxfId="6382" priority="8333" operator="between">
      <formula>0.51</formula>
      <formula>0.75</formula>
    </cfRule>
    <cfRule type="cellIs" dxfId="6381" priority="8334" operator="greaterThan">
      <formula>1</formula>
    </cfRule>
    <cfRule type="cellIs" dxfId="6380" priority="8335" operator="between">
      <formula>0.95</formula>
      <formula>1</formula>
    </cfRule>
    <cfRule type="cellIs" dxfId="6379" priority="8336" stopIfTrue="1" operator="between">
      <formula>0</formula>
      <formula>0.5</formula>
    </cfRule>
  </conditionalFormatting>
  <conditionalFormatting sqref="U93">
    <cfRule type="cellIs" dxfId="6378" priority="8327" operator="between">
      <formula>0.76</formula>
      <formula>0.95</formula>
    </cfRule>
    <cfRule type="cellIs" dxfId="6377" priority="8328" operator="between">
      <formula>0.51</formula>
      <formula>0.75</formula>
    </cfRule>
    <cfRule type="cellIs" dxfId="6376" priority="8329" operator="greaterThan">
      <formula>1</formula>
    </cfRule>
    <cfRule type="cellIs" dxfId="6375" priority="8330" operator="between">
      <formula>0.95</formula>
      <formula>1</formula>
    </cfRule>
    <cfRule type="cellIs" dxfId="6374" priority="8331" stopIfTrue="1" operator="between">
      <formula>0</formula>
      <formula>0.5</formula>
    </cfRule>
  </conditionalFormatting>
  <conditionalFormatting sqref="U94">
    <cfRule type="cellIs" dxfId="6373" priority="8322" operator="between">
      <formula>0.76</formula>
      <formula>0.95</formula>
    </cfRule>
    <cfRule type="cellIs" dxfId="6372" priority="8323" operator="between">
      <formula>0.51</formula>
      <formula>0.75</formula>
    </cfRule>
    <cfRule type="cellIs" dxfId="6371" priority="8324" operator="greaterThan">
      <formula>1</formula>
    </cfRule>
    <cfRule type="cellIs" dxfId="6370" priority="8325" operator="between">
      <formula>0.95</formula>
      <formula>1</formula>
    </cfRule>
    <cfRule type="cellIs" dxfId="6369" priority="8326" stopIfTrue="1" operator="between">
      <formula>0</formula>
      <formula>0.5</formula>
    </cfRule>
  </conditionalFormatting>
  <conditionalFormatting sqref="U95">
    <cfRule type="cellIs" dxfId="6368" priority="8317" operator="between">
      <formula>0.76</formula>
      <formula>0.95</formula>
    </cfRule>
    <cfRule type="cellIs" dxfId="6367" priority="8318" operator="between">
      <formula>0.51</formula>
      <formula>0.75</formula>
    </cfRule>
    <cfRule type="cellIs" dxfId="6366" priority="8319" operator="greaterThan">
      <formula>1</formula>
    </cfRule>
    <cfRule type="cellIs" dxfId="6365" priority="8320" operator="between">
      <formula>0.95</formula>
      <formula>1</formula>
    </cfRule>
    <cfRule type="cellIs" dxfId="6364" priority="8321" stopIfTrue="1" operator="between">
      <formula>0</formula>
      <formula>0.5</formula>
    </cfRule>
  </conditionalFormatting>
  <conditionalFormatting sqref="U96">
    <cfRule type="cellIs" dxfId="6363" priority="8312" operator="between">
      <formula>0.76</formula>
      <formula>0.95</formula>
    </cfRule>
    <cfRule type="cellIs" dxfId="6362" priority="8313" operator="between">
      <formula>0.51</formula>
      <formula>0.75</formula>
    </cfRule>
    <cfRule type="cellIs" dxfId="6361" priority="8314" operator="greaterThan">
      <formula>1</formula>
    </cfRule>
    <cfRule type="cellIs" dxfId="6360" priority="8315" operator="between">
      <formula>0.95</formula>
      <formula>1</formula>
    </cfRule>
    <cfRule type="cellIs" dxfId="6359" priority="8316" stopIfTrue="1" operator="between">
      <formula>0</formula>
      <formula>0.5</formula>
    </cfRule>
  </conditionalFormatting>
  <conditionalFormatting sqref="U98">
    <cfRule type="cellIs" dxfId="6358" priority="8307" operator="between">
      <formula>0.76</formula>
      <formula>0.95</formula>
    </cfRule>
    <cfRule type="cellIs" dxfId="6357" priority="8308" operator="between">
      <formula>0.51</formula>
      <formula>0.75</formula>
    </cfRule>
    <cfRule type="cellIs" dxfId="6356" priority="8309" operator="greaterThan">
      <formula>1</formula>
    </cfRule>
    <cfRule type="cellIs" dxfId="6355" priority="8310" operator="between">
      <formula>0.95</formula>
      <formula>1</formula>
    </cfRule>
    <cfRule type="cellIs" dxfId="6354" priority="8311" stopIfTrue="1" operator="between">
      <formula>0</formula>
      <formula>0.5</formula>
    </cfRule>
  </conditionalFormatting>
  <conditionalFormatting sqref="U99">
    <cfRule type="cellIs" dxfId="6353" priority="8292" operator="between">
      <formula>0.76</formula>
      <formula>0.95</formula>
    </cfRule>
    <cfRule type="cellIs" dxfId="6352" priority="8293" operator="between">
      <formula>0.51</formula>
      <formula>0.75</formula>
    </cfRule>
    <cfRule type="cellIs" dxfId="6351" priority="8294" operator="greaterThan">
      <formula>1</formula>
    </cfRule>
    <cfRule type="cellIs" dxfId="6350" priority="8295" operator="between">
      <formula>0.95</formula>
      <formula>1</formula>
    </cfRule>
    <cfRule type="cellIs" dxfId="6349" priority="8296" stopIfTrue="1" operator="between">
      <formula>0</formula>
      <formula>0.5</formula>
    </cfRule>
  </conditionalFormatting>
  <conditionalFormatting sqref="U101">
    <cfRule type="cellIs" dxfId="6348" priority="8287" operator="between">
      <formula>0.76</formula>
      <formula>0.95</formula>
    </cfRule>
    <cfRule type="cellIs" dxfId="6347" priority="8288" operator="between">
      <formula>0.51</formula>
      <formula>0.75</formula>
    </cfRule>
    <cfRule type="cellIs" dxfId="6346" priority="8289" operator="greaterThan">
      <formula>1</formula>
    </cfRule>
    <cfRule type="cellIs" dxfId="6345" priority="8290" operator="between">
      <formula>0.95</formula>
      <formula>1</formula>
    </cfRule>
    <cfRule type="cellIs" dxfId="6344" priority="8291" stopIfTrue="1" operator="between">
      <formula>0</formula>
      <formula>0.5</formula>
    </cfRule>
  </conditionalFormatting>
  <conditionalFormatting sqref="U103">
    <cfRule type="cellIs" dxfId="6343" priority="8277" operator="between">
      <formula>0.76</formula>
      <formula>0.95</formula>
    </cfRule>
    <cfRule type="cellIs" dxfId="6342" priority="8278" operator="between">
      <formula>0.51</formula>
      <formula>0.75</formula>
    </cfRule>
    <cfRule type="cellIs" dxfId="6341" priority="8279" operator="greaterThan">
      <formula>1</formula>
    </cfRule>
    <cfRule type="cellIs" dxfId="6340" priority="8280" operator="between">
      <formula>0.95</formula>
      <formula>1</formula>
    </cfRule>
    <cfRule type="cellIs" dxfId="6339" priority="8281" stopIfTrue="1" operator="between">
      <formula>0</formula>
      <formula>0.5</formula>
    </cfRule>
  </conditionalFormatting>
  <conditionalFormatting sqref="U104">
    <cfRule type="cellIs" dxfId="6338" priority="8272" operator="between">
      <formula>0.76</formula>
      <formula>0.95</formula>
    </cfRule>
    <cfRule type="cellIs" dxfId="6337" priority="8273" operator="between">
      <formula>0.51</formula>
      <formula>0.75</formula>
    </cfRule>
    <cfRule type="cellIs" dxfId="6336" priority="8274" operator="greaterThan">
      <formula>1</formula>
    </cfRule>
    <cfRule type="cellIs" dxfId="6335" priority="8275" operator="between">
      <formula>0.95</formula>
      <formula>1</formula>
    </cfRule>
    <cfRule type="cellIs" dxfId="6334" priority="8276" stopIfTrue="1" operator="between">
      <formula>0</formula>
      <formula>0.5</formula>
    </cfRule>
  </conditionalFormatting>
  <conditionalFormatting sqref="U105">
    <cfRule type="cellIs" dxfId="6333" priority="8267" operator="between">
      <formula>0.76</formula>
      <formula>0.95</formula>
    </cfRule>
    <cfRule type="cellIs" dxfId="6332" priority="8268" operator="between">
      <formula>0.51</formula>
      <formula>0.75</formula>
    </cfRule>
    <cfRule type="cellIs" dxfId="6331" priority="8269" operator="greaterThan">
      <formula>1</formula>
    </cfRule>
    <cfRule type="cellIs" dxfId="6330" priority="8270" operator="between">
      <formula>0.95</formula>
      <formula>1</formula>
    </cfRule>
    <cfRule type="cellIs" dxfId="6329" priority="8271" stopIfTrue="1" operator="between">
      <formula>0</formula>
      <formula>0.5</formula>
    </cfRule>
  </conditionalFormatting>
  <conditionalFormatting sqref="U106">
    <cfRule type="cellIs" dxfId="6328" priority="8262" operator="between">
      <formula>0.76</formula>
      <formula>0.95</formula>
    </cfRule>
    <cfRule type="cellIs" dxfId="6327" priority="8263" operator="between">
      <formula>0.51</formula>
      <formula>0.75</formula>
    </cfRule>
    <cfRule type="cellIs" dxfId="6326" priority="8264" operator="greaterThan">
      <formula>1</formula>
    </cfRule>
    <cfRule type="cellIs" dxfId="6325" priority="8265" operator="between">
      <formula>0.95</formula>
      <formula>1</formula>
    </cfRule>
    <cfRule type="cellIs" dxfId="6324" priority="8266" stopIfTrue="1" operator="between">
      <formula>0</formula>
      <formula>0.5</formula>
    </cfRule>
  </conditionalFormatting>
  <conditionalFormatting sqref="U107">
    <cfRule type="cellIs" dxfId="6323" priority="8257" operator="between">
      <formula>0.76</formula>
      <formula>0.95</formula>
    </cfRule>
    <cfRule type="cellIs" dxfId="6322" priority="8258" operator="between">
      <formula>0.51</formula>
      <formula>0.75</formula>
    </cfRule>
    <cfRule type="cellIs" dxfId="6321" priority="8259" operator="greaterThan">
      <formula>1</formula>
    </cfRule>
    <cfRule type="cellIs" dxfId="6320" priority="8260" operator="between">
      <formula>0.95</formula>
      <formula>1</formula>
    </cfRule>
    <cfRule type="cellIs" dxfId="6319" priority="8261" stopIfTrue="1" operator="between">
      <formula>0</formula>
      <formula>0.5</formula>
    </cfRule>
  </conditionalFormatting>
  <conditionalFormatting sqref="U108:U109">
    <cfRule type="cellIs" dxfId="6318" priority="8252" operator="between">
      <formula>0.76</formula>
      <formula>0.95</formula>
    </cfRule>
    <cfRule type="cellIs" dxfId="6317" priority="8253" operator="between">
      <formula>0.51</formula>
      <formula>0.75</formula>
    </cfRule>
    <cfRule type="cellIs" dxfId="6316" priority="8254" operator="greaterThan">
      <formula>1</formula>
    </cfRule>
    <cfRule type="cellIs" dxfId="6315" priority="8255" operator="between">
      <formula>0.95</formula>
      <formula>1</formula>
    </cfRule>
    <cfRule type="cellIs" dxfId="6314" priority="8256" stopIfTrue="1" operator="between">
      <formula>0</formula>
      <formula>0.5</formula>
    </cfRule>
  </conditionalFormatting>
  <conditionalFormatting sqref="U110">
    <cfRule type="cellIs" dxfId="6313" priority="8247" operator="between">
      <formula>0.76</formula>
      <formula>0.95</formula>
    </cfRule>
    <cfRule type="cellIs" dxfId="6312" priority="8248" operator="between">
      <formula>0.51</formula>
      <formula>0.75</formula>
    </cfRule>
    <cfRule type="cellIs" dxfId="6311" priority="8249" operator="greaterThan">
      <formula>1</formula>
    </cfRule>
    <cfRule type="cellIs" dxfId="6310" priority="8250" operator="between">
      <formula>0.95</formula>
      <formula>1</formula>
    </cfRule>
    <cfRule type="cellIs" dxfId="6309" priority="8251" stopIfTrue="1" operator="between">
      <formula>0</formula>
      <formula>0.5</formula>
    </cfRule>
  </conditionalFormatting>
  <conditionalFormatting sqref="U111">
    <cfRule type="cellIs" dxfId="6308" priority="8242" operator="between">
      <formula>0.76</formula>
      <formula>0.95</formula>
    </cfRule>
    <cfRule type="cellIs" dxfId="6307" priority="8243" operator="between">
      <formula>0.51</formula>
      <formula>0.75</formula>
    </cfRule>
    <cfRule type="cellIs" dxfId="6306" priority="8244" operator="greaterThan">
      <formula>1</formula>
    </cfRule>
    <cfRule type="cellIs" dxfId="6305" priority="8245" operator="between">
      <formula>0.95</formula>
      <formula>1</formula>
    </cfRule>
    <cfRule type="cellIs" dxfId="6304" priority="8246" stopIfTrue="1" operator="between">
      <formula>0</formula>
      <formula>0.5</formula>
    </cfRule>
  </conditionalFormatting>
  <conditionalFormatting sqref="U112">
    <cfRule type="cellIs" dxfId="6303" priority="8237" operator="between">
      <formula>0.76</formula>
      <formula>0.95</formula>
    </cfRule>
    <cfRule type="cellIs" dxfId="6302" priority="8238" operator="between">
      <formula>0.51</formula>
      <formula>0.75</formula>
    </cfRule>
    <cfRule type="cellIs" dxfId="6301" priority="8239" operator="greaterThan">
      <formula>1</formula>
    </cfRule>
    <cfRule type="cellIs" dxfId="6300" priority="8240" operator="between">
      <formula>0.95</formula>
      <formula>1</formula>
    </cfRule>
    <cfRule type="cellIs" dxfId="6299" priority="8241" stopIfTrue="1" operator="between">
      <formula>0</formula>
      <formula>0.5</formula>
    </cfRule>
  </conditionalFormatting>
  <conditionalFormatting sqref="U113">
    <cfRule type="cellIs" dxfId="6298" priority="8232" operator="between">
      <formula>0.76</formula>
      <formula>0.95</formula>
    </cfRule>
    <cfRule type="cellIs" dxfId="6297" priority="8233" operator="between">
      <formula>0.51</formula>
      <formula>0.75</formula>
    </cfRule>
    <cfRule type="cellIs" dxfId="6296" priority="8234" operator="greaterThan">
      <formula>1</formula>
    </cfRule>
    <cfRule type="cellIs" dxfId="6295" priority="8235" operator="between">
      <formula>0.95</formula>
      <formula>1</formula>
    </cfRule>
    <cfRule type="cellIs" dxfId="6294" priority="8236" stopIfTrue="1" operator="between">
      <formula>0</formula>
      <formula>0.5</formula>
    </cfRule>
  </conditionalFormatting>
  <conditionalFormatting sqref="U114">
    <cfRule type="cellIs" dxfId="6293" priority="8222" operator="between">
      <formula>0.76</formula>
      <formula>0.95</formula>
    </cfRule>
    <cfRule type="cellIs" dxfId="6292" priority="8223" operator="between">
      <formula>0.51</formula>
      <formula>0.75</formula>
    </cfRule>
    <cfRule type="cellIs" dxfId="6291" priority="8224" operator="greaterThan">
      <formula>1</formula>
    </cfRule>
    <cfRule type="cellIs" dxfId="6290" priority="8225" operator="between">
      <formula>0.95</formula>
      <formula>1</formula>
    </cfRule>
    <cfRule type="cellIs" dxfId="6289" priority="8226" stopIfTrue="1" operator="between">
      <formula>0</formula>
      <formula>0.5</formula>
    </cfRule>
  </conditionalFormatting>
  <conditionalFormatting sqref="U115">
    <cfRule type="cellIs" dxfId="6288" priority="8217" operator="between">
      <formula>0.76</formula>
      <formula>0.95</formula>
    </cfRule>
    <cfRule type="cellIs" dxfId="6287" priority="8218" operator="between">
      <formula>0.51</formula>
      <formula>0.75</formula>
    </cfRule>
    <cfRule type="cellIs" dxfId="6286" priority="8219" operator="greaterThan">
      <formula>1</formula>
    </cfRule>
    <cfRule type="cellIs" dxfId="6285" priority="8220" operator="between">
      <formula>0.95</formula>
      <formula>1</formula>
    </cfRule>
    <cfRule type="cellIs" dxfId="6284" priority="8221" stopIfTrue="1" operator="between">
      <formula>0</formula>
      <formula>0.5</formula>
    </cfRule>
  </conditionalFormatting>
  <conditionalFormatting sqref="U116">
    <cfRule type="cellIs" dxfId="6283" priority="8212" operator="between">
      <formula>0.76</formula>
      <formula>0.95</formula>
    </cfRule>
    <cfRule type="cellIs" dxfId="6282" priority="8213" operator="between">
      <formula>0.51</formula>
      <formula>0.75</formula>
    </cfRule>
    <cfRule type="cellIs" dxfId="6281" priority="8214" operator="greaterThan">
      <formula>1</formula>
    </cfRule>
    <cfRule type="cellIs" dxfId="6280" priority="8215" operator="between">
      <formula>0.95</formula>
      <formula>1</formula>
    </cfRule>
    <cfRule type="cellIs" dxfId="6279" priority="8216" stopIfTrue="1" operator="between">
      <formula>0</formula>
      <formula>0.5</formula>
    </cfRule>
  </conditionalFormatting>
  <conditionalFormatting sqref="U117">
    <cfRule type="cellIs" dxfId="6278" priority="8207" operator="between">
      <formula>0.76</formula>
      <formula>0.95</formula>
    </cfRule>
    <cfRule type="cellIs" dxfId="6277" priority="8208" operator="between">
      <formula>0.51</formula>
      <formula>0.75</formula>
    </cfRule>
    <cfRule type="cellIs" dxfId="6276" priority="8209" operator="greaterThan">
      <formula>1</formula>
    </cfRule>
    <cfRule type="cellIs" dxfId="6275" priority="8210" operator="between">
      <formula>0.95</formula>
      <formula>1</formula>
    </cfRule>
    <cfRule type="cellIs" dxfId="6274" priority="8211" stopIfTrue="1" operator="between">
      <formula>0</formula>
      <formula>0.5</formula>
    </cfRule>
  </conditionalFormatting>
  <conditionalFormatting sqref="U118">
    <cfRule type="cellIs" dxfId="6273" priority="8202" operator="between">
      <formula>0.76</formula>
      <formula>0.95</formula>
    </cfRule>
    <cfRule type="cellIs" dxfId="6272" priority="8203" operator="between">
      <formula>0.51</formula>
      <formula>0.75</formula>
    </cfRule>
    <cfRule type="cellIs" dxfId="6271" priority="8204" operator="greaterThan">
      <formula>1</formula>
    </cfRule>
    <cfRule type="cellIs" dxfId="6270" priority="8205" operator="between">
      <formula>0.95</formula>
      <formula>1</formula>
    </cfRule>
    <cfRule type="cellIs" dxfId="6269" priority="8206" stopIfTrue="1" operator="between">
      <formula>0</formula>
      <formula>0.5</formula>
    </cfRule>
  </conditionalFormatting>
  <conditionalFormatting sqref="U119">
    <cfRule type="cellIs" dxfId="6268" priority="8197" operator="between">
      <formula>0.76</formula>
      <formula>0.95</formula>
    </cfRule>
    <cfRule type="cellIs" dxfId="6267" priority="8198" operator="between">
      <formula>0.51</formula>
      <formula>0.75</formula>
    </cfRule>
    <cfRule type="cellIs" dxfId="6266" priority="8199" operator="greaterThan">
      <formula>1</formula>
    </cfRule>
    <cfRule type="cellIs" dxfId="6265" priority="8200" operator="between">
      <formula>0.95</formula>
      <formula>1</formula>
    </cfRule>
    <cfRule type="cellIs" dxfId="6264" priority="8201" stopIfTrue="1" operator="between">
      <formula>0</formula>
      <formula>0.5</formula>
    </cfRule>
  </conditionalFormatting>
  <conditionalFormatting sqref="U120">
    <cfRule type="cellIs" dxfId="6263" priority="8192" operator="between">
      <formula>0.76</formula>
      <formula>0.95</formula>
    </cfRule>
    <cfRule type="cellIs" dxfId="6262" priority="8193" operator="between">
      <formula>0.51</formula>
      <formula>0.75</formula>
    </cfRule>
    <cfRule type="cellIs" dxfId="6261" priority="8194" operator="greaterThan">
      <formula>1</formula>
    </cfRule>
    <cfRule type="cellIs" dxfId="6260" priority="8195" operator="between">
      <formula>0.95</formula>
      <formula>1</formula>
    </cfRule>
    <cfRule type="cellIs" dxfId="6259" priority="8196" stopIfTrue="1" operator="between">
      <formula>0</formula>
      <formula>0.5</formula>
    </cfRule>
  </conditionalFormatting>
  <conditionalFormatting sqref="U121">
    <cfRule type="cellIs" dxfId="6258" priority="8187" operator="between">
      <formula>0.76</formula>
      <formula>0.95</formula>
    </cfRule>
    <cfRule type="cellIs" dxfId="6257" priority="8188" operator="between">
      <formula>0.51</formula>
      <formula>0.75</formula>
    </cfRule>
    <cfRule type="cellIs" dxfId="6256" priority="8189" operator="greaterThan">
      <formula>1</formula>
    </cfRule>
    <cfRule type="cellIs" dxfId="6255" priority="8190" operator="between">
      <formula>0.95</formula>
      <formula>1</formula>
    </cfRule>
    <cfRule type="cellIs" dxfId="6254" priority="8191" stopIfTrue="1" operator="between">
      <formula>0</formula>
      <formula>0.5</formula>
    </cfRule>
  </conditionalFormatting>
  <conditionalFormatting sqref="U122">
    <cfRule type="cellIs" dxfId="6253" priority="8182" operator="between">
      <formula>0.76</formula>
      <formula>0.95</formula>
    </cfRule>
    <cfRule type="cellIs" dxfId="6252" priority="8183" operator="between">
      <formula>0.51</formula>
      <formula>0.75</formula>
    </cfRule>
    <cfRule type="cellIs" dxfId="6251" priority="8184" operator="greaterThan">
      <formula>1</formula>
    </cfRule>
    <cfRule type="cellIs" dxfId="6250" priority="8185" operator="between">
      <formula>0.95</formula>
      <formula>1</formula>
    </cfRule>
    <cfRule type="cellIs" dxfId="6249" priority="8186" stopIfTrue="1" operator="between">
      <formula>0</formula>
      <formula>0.5</formula>
    </cfRule>
  </conditionalFormatting>
  <conditionalFormatting sqref="U123">
    <cfRule type="cellIs" dxfId="6248" priority="8177" operator="between">
      <formula>0.76</formula>
      <formula>0.95</formula>
    </cfRule>
    <cfRule type="cellIs" dxfId="6247" priority="8178" operator="between">
      <formula>0.51</formula>
      <formula>0.75</formula>
    </cfRule>
    <cfRule type="cellIs" dxfId="6246" priority="8179" operator="greaterThan">
      <formula>1</formula>
    </cfRule>
    <cfRule type="cellIs" dxfId="6245" priority="8180" operator="between">
      <formula>0.95</formula>
      <formula>1</formula>
    </cfRule>
    <cfRule type="cellIs" dxfId="6244" priority="8181" stopIfTrue="1" operator="between">
      <formula>0</formula>
      <formula>0.5</formula>
    </cfRule>
  </conditionalFormatting>
  <conditionalFormatting sqref="U124">
    <cfRule type="cellIs" dxfId="6243" priority="8172" operator="between">
      <formula>0.76</formula>
      <formula>0.95</formula>
    </cfRule>
    <cfRule type="cellIs" dxfId="6242" priority="8173" operator="between">
      <formula>0.51</formula>
      <formula>0.75</formula>
    </cfRule>
    <cfRule type="cellIs" dxfId="6241" priority="8174" operator="greaterThan">
      <formula>1</formula>
    </cfRule>
    <cfRule type="cellIs" dxfId="6240" priority="8175" operator="between">
      <formula>0.95</formula>
      <formula>1</formula>
    </cfRule>
    <cfRule type="cellIs" dxfId="6239" priority="8176" stopIfTrue="1" operator="between">
      <formula>0</formula>
      <formula>0.5</formula>
    </cfRule>
  </conditionalFormatting>
  <conditionalFormatting sqref="U125">
    <cfRule type="cellIs" dxfId="6238" priority="8167" operator="between">
      <formula>0.76</formula>
      <formula>0.95</formula>
    </cfRule>
    <cfRule type="cellIs" dxfId="6237" priority="8168" operator="between">
      <formula>0.51</formula>
      <formula>0.75</formula>
    </cfRule>
    <cfRule type="cellIs" dxfId="6236" priority="8169" operator="greaterThan">
      <formula>1</formula>
    </cfRule>
    <cfRule type="cellIs" dxfId="6235" priority="8170" operator="between">
      <formula>0.95</formula>
      <formula>1</formula>
    </cfRule>
    <cfRule type="cellIs" dxfId="6234" priority="8171" stopIfTrue="1" operator="between">
      <formula>0</formula>
      <formula>0.5</formula>
    </cfRule>
  </conditionalFormatting>
  <conditionalFormatting sqref="U126">
    <cfRule type="cellIs" dxfId="6233" priority="8162" operator="between">
      <formula>0.76</formula>
      <formula>0.95</formula>
    </cfRule>
    <cfRule type="cellIs" dxfId="6232" priority="8163" operator="between">
      <formula>0.51</formula>
      <formula>0.75</formula>
    </cfRule>
    <cfRule type="cellIs" dxfId="6231" priority="8164" operator="greaterThan">
      <formula>1</formula>
    </cfRule>
    <cfRule type="cellIs" dxfId="6230" priority="8165" operator="between">
      <formula>0.95</formula>
      <formula>1</formula>
    </cfRule>
    <cfRule type="cellIs" dxfId="6229" priority="8166" stopIfTrue="1" operator="between">
      <formula>0</formula>
      <formula>0.5</formula>
    </cfRule>
  </conditionalFormatting>
  <conditionalFormatting sqref="U127">
    <cfRule type="cellIs" dxfId="6228" priority="8157" operator="between">
      <formula>0.76</formula>
      <formula>0.95</formula>
    </cfRule>
    <cfRule type="cellIs" dxfId="6227" priority="8158" operator="between">
      <formula>0.51</formula>
      <formula>0.75</formula>
    </cfRule>
    <cfRule type="cellIs" dxfId="6226" priority="8159" operator="greaterThan">
      <formula>1</formula>
    </cfRule>
    <cfRule type="cellIs" dxfId="6225" priority="8160" operator="between">
      <formula>0.95</formula>
      <formula>1</formula>
    </cfRule>
    <cfRule type="cellIs" dxfId="6224" priority="8161" stopIfTrue="1" operator="between">
      <formula>0</formula>
      <formula>0.5</formula>
    </cfRule>
  </conditionalFormatting>
  <conditionalFormatting sqref="U128">
    <cfRule type="cellIs" dxfId="6223" priority="8152" operator="between">
      <formula>0.76</formula>
      <formula>0.95</formula>
    </cfRule>
    <cfRule type="cellIs" dxfId="6222" priority="8153" operator="between">
      <formula>0.51</formula>
      <formula>0.75</formula>
    </cfRule>
    <cfRule type="cellIs" dxfId="6221" priority="8154" operator="greaterThan">
      <formula>1</formula>
    </cfRule>
    <cfRule type="cellIs" dxfId="6220" priority="8155" operator="between">
      <formula>0.95</formula>
      <formula>1</formula>
    </cfRule>
    <cfRule type="cellIs" dxfId="6219" priority="8156" stopIfTrue="1" operator="between">
      <formula>0</formula>
      <formula>0.5</formula>
    </cfRule>
  </conditionalFormatting>
  <conditionalFormatting sqref="U129">
    <cfRule type="cellIs" dxfId="6218" priority="8147" operator="between">
      <formula>0.76</formula>
      <formula>0.95</formula>
    </cfRule>
    <cfRule type="cellIs" dxfId="6217" priority="8148" operator="between">
      <formula>0.51</formula>
      <formula>0.75</formula>
    </cfRule>
    <cfRule type="cellIs" dxfId="6216" priority="8149" operator="greaterThan">
      <formula>1</formula>
    </cfRule>
    <cfRule type="cellIs" dxfId="6215" priority="8150" operator="between">
      <formula>0.95</formula>
      <formula>1</formula>
    </cfRule>
    <cfRule type="cellIs" dxfId="6214" priority="8151" stopIfTrue="1" operator="between">
      <formula>0</formula>
      <formula>0.5</formula>
    </cfRule>
  </conditionalFormatting>
  <conditionalFormatting sqref="U130">
    <cfRule type="cellIs" dxfId="6213" priority="8142" operator="between">
      <formula>0.76</formula>
      <formula>0.95</formula>
    </cfRule>
    <cfRule type="cellIs" dxfId="6212" priority="8143" operator="between">
      <formula>0.51</formula>
      <formula>0.75</formula>
    </cfRule>
    <cfRule type="cellIs" dxfId="6211" priority="8144" operator="greaterThan">
      <formula>1</formula>
    </cfRule>
    <cfRule type="cellIs" dxfId="6210" priority="8145" operator="between">
      <formula>0.95</formula>
      <formula>1</formula>
    </cfRule>
    <cfRule type="cellIs" dxfId="6209" priority="8146" stopIfTrue="1" operator="between">
      <formula>0</formula>
      <formula>0.5</formula>
    </cfRule>
  </conditionalFormatting>
  <conditionalFormatting sqref="U131">
    <cfRule type="cellIs" dxfId="6208" priority="8137" operator="between">
      <formula>0.76</formula>
      <formula>0.95</formula>
    </cfRule>
    <cfRule type="cellIs" dxfId="6207" priority="8138" operator="between">
      <formula>0.51</formula>
      <formula>0.75</formula>
    </cfRule>
    <cfRule type="cellIs" dxfId="6206" priority="8139" operator="greaterThan">
      <formula>1</formula>
    </cfRule>
    <cfRule type="cellIs" dxfId="6205" priority="8140" operator="between">
      <formula>0.95</formula>
      <formula>1</formula>
    </cfRule>
    <cfRule type="cellIs" dxfId="6204" priority="8141" stopIfTrue="1" operator="between">
      <formula>0</formula>
      <formula>0.5</formula>
    </cfRule>
  </conditionalFormatting>
  <conditionalFormatting sqref="U132">
    <cfRule type="cellIs" dxfId="6203" priority="8132" operator="between">
      <formula>0.76</formula>
      <formula>0.95</formula>
    </cfRule>
    <cfRule type="cellIs" dxfId="6202" priority="8133" operator="between">
      <formula>0.51</formula>
      <formula>0.75</formula>
    </cfRule>
    <cfRule type="cellIs" dxfId="6201" priority="8134" operator="greaterThan">
      <formula>1</formula>
    </cfRule>
    <cfRule type="cellIs" dxfId="6200" priority="8135" operator="between">
      <formula>0.95</formula>
      <formula>1</formula>
    </cfRule>
    <cfRule type="cellIs" dxfId="6199" priority="8136" stopIfTrue="1" operator="between">
      <formula>0</formula>
      <formula>0.5</formula>
    </cfRule>
  </conditionalFormatting>
  <conditionalFormatting sqref="U133">
    <cfRule type="cellIs" dxfId="6198" priority="8127" operator="between">
      <formula>0.76</formula>
      <formula>0.95</formula>
    </cfRule>
    <cfRule type="cellIs" dxfId="6197" priority="8128" operator="between">
      <formula>0.51</formula>
      <formula>0.75</formula>
    </cfRule>
    <cfRule type="cellIs" dxfId="6196" priority="8129" operator="greaterThan">
      <formula>1</formula>
    </cfRule>
    <cfRule type="cellIs" dxfId="6195" priority="8130" operator="between">
      <formula>0.95</formula>
      <formula>1</formula>
    </cfRule>
    <cfRule type="cellIs" dxfId="6194" priority="8131" stopIfTrue="1" operator="between">
      <formula>0</formula>
      <formula>0.5</formula>
    </cfRule>
  </conditionalFormatting>
  <conditionalFormatting sqref="U134">
    <cfRule type="cellIs" dxfId="6193" priority="8122" operator="between">
      <formula>0.76</formula>
      <formula>0.95</formula>
    </cfRule>
    <cfRule type="cellIs" dxfId="6192" priority="8123" operator="between">
      <formula>0.51</formula>
      <formula>0.75</formula>
    </cfRule>
    <cfRule type="cellIs" dxfId="6191" priority="8124" operator="greaterThan">
      <formula>1</formula>
    </cfRule>
    <cfRule type="cellIs" dxfId="6190" priority="8125" operator="between">
      <formula>0.95</formula>
      <formula>1</formula>
    </cfRule>
    <cfRule type="cellIs" dxfId="6189" priority="8126" stopIfTrue="1" operator="between">
      <formula>0</formula>
      <formula>0.5</formula>
    </cfRule>
  </conditionalFormatting>
  <conditionalFormatting sqref="U136">
    <cfRule type="cellIs" dxfId="6188" priority="8117" operator="between">
      <formula>0.76</formula>
      <formula>0.95</formula>
    </cfRule>
    <cfRule type="cellIs" dxfId="6187" priority="8118" operator="between">
      <formula>0.51</formula>
      <formula>0.75</formula>
    </cfRule>
    <cfRule type="cellIs" dxfId="6186" priority="8119" operator="greaterThan">
      <formula>1</formula>
    </cfRule>
    <cfRule type="cellIs" dxfId="6185" priority="8120" operator="between">
      <formula>0.95</formula>
      <formula>1</formula>
    </cfRule>
    <cfRule type="cellIs" dxfId="6184" priority="8121" stopIfTrue="1" operator="between">
      <formula>0</formula>
      <formula>0.5</formula>
    </cfRule>
  </conditionalFormatting>
  <conditionalFormatting sqref="U137:U138">
    <cfRule type="cellIs" dxfId="6183" priority="8107" operator="between">
      <formula>0.76</formula>
      <formula>0.95</formula>
    </cfRule>
    <cfRule type="cellIs" dxfId="6182" priority="8108" operator="between">
      <formula>0.51</formula>
      <formula>0.75</formula>
    </cfRule>
    <cfRule type="cellIs" dxfId="6181" priority="8109" operator="greaterThan">
      <formula>1</formula>
    </cfRule>
    <cfRule type="cellIs" dxfId="6180" priority="8110" operator="between">
      <formula>0.95</formula>
      <formula>1</formula>
    </cfRule>
    <cfRule type="cellIs" dxfId="6179" priority="8111" stopIfTrue="1" operator="between">
      <formula>0</formula>
      <formula>0.5</formula>
    </cfRule>
  </conditionalFormatting>
  <conditionalFormatting sqref="U139">
    <cfRule type="cellIs" dxfId="6178" priority="8102" operator="between">
      <formula>0.76</formula>
      <formula>0.95</formula>
    </cfRule>
    <cfRule type="cellIs" dxfId="6177" priority="8103" operator="between">
      <formula>0.51</formula>
      <formula>0.75</formula>
    </cfRule>
    <cfRule type="cellIs" dxfId="6176" priority="8104" operator="greaterThan">
      <formula>1</formula>
    </cfRule>
    <cfRule type="cellIs" dxfId="6175" priority="8105" operator="between">
      <formula>0.95</formula>
      <formula>1</formula>
    </cfRule>
    <cfRule type="cellIs" dxfId="6174" priority="8106" stopIfTrue="1" operator="between">
      <formula>0</formula>
      <formula>0.5</formula>
    </cfRule>
  </conditionalFormatting>
  <conditionalFormatting sqref="U140">
    <cfRule type="cellIs" dxfId="6173" priority="8097" operator="between">
      <formula>0.76</formula>
      <formula>0.95</formula>
    </cfRule>
    <cfRule type="cellIs" dxfId="6172" priority="8098" operator="between">
      <formula>0.51</formula>
      <formula>0.75</formula>
    </cfRule>
    <cfRule type="cellIs" dxfId="6171" priority="8099" operator="greaterThan">
      <formula>1</formula>
    </cfRule>
    <cfRule type="cellIs" dxfId="6170" priority="8100" operator="between">
      <formula>0.95</formula>
      <formula>1</formula>
    </cfRule>
    <cfRule type="cellIs" dxfId="6169" priority="8101" stopIfTrue="1" operator="between">
      <formula>0</formula>
      <formula>0.5</formula>
    </cfRule>
  </conditionalFormatting>
  <conditionalFormatting sqref="U141">
    <cfRule type="cellIs" dxfId="6168" priority="8092" operator="between">
      <formula>0.76</formula>
      <formula>0.95</formula>
    </cfRule>
    <cfRule type="cellIs" dxfId="6167" priority="8093" operator="between">
      <formula>0.51</formula>
      <formula>0.75</formula>
    </cfRule>
    <cfRule type="cellIs" dxfId="6166" priority="8094" operator="greaterThan">
      <formula>1</formula>
    </cfRule>
    <cfRule type="cellIs" dxfId="6165" priority="8095" operator="between">
      <formula>0.95</formula>
      <formula>1</formula>
    </cfRule>
    <cfRule type="cellIs" dxfId="6164" priority="8096" stopIfTrue="1" operator="between">
      <formula>0</formula>
      <formula>0.5</formula>
    </cfRule>
  </conditionalFormatting>
  <conditionalFormatting sqref="U142">
    <cfRule type="cellIs" dxfId="6163" priority="8087" operator="between">
      <formula>0.76</formula>
      <formula>0.95</formula>
    </cfRule>
    <cfRule type="cellIs" dxfId="6162" priority="8088" operator="between">
      <formula>0.51</formula>
      <formula>0.75</formula>
    </cfRule>
    <cfRule type="cellIs" dxfId="6161" priority="8089" operator="greaterThan">
      <formula>1</formula>
    </cfRule>
    <cfRule type="cellIs" dxfId="6160" priority="8090" operator="between">
      <formula>0.95</formula>
      <formula>1</formula>
    </cfRule>
    <cfRule type="cellIs" dxfId="6159" priority="8091" stopIfTrue="1" operator="between">
      <formula>0</formula>
      <formula>0.5</formula>
    </cfRule>
  </conditionalFormatting>
  <conditionalFormatting sqref="U143">
    <cfRule type="cellIs" dxfId="6158" priority="8082" operator="between">
      <formula>0.76</formula>
      <formula>0.95</formula>
    </cfRule>
    <cfRule type="cellIs" dxfId="6157" priority="8083" operator="between">
      <formula>0.51</formula>
      <formula>0.75</formula>
    </cfRule>
    <cfRule type="cellIs" dxfId="6156" priority="8084" operator="greaterThan">
      <formula>1</formula>
    </cfRule>
    <cfRule type="cellIs" dxfId="6155" priority="8085" operator="between">
      <formula>0.95</formula>
      <formula>1</formula>
    </cfRule>
    <cfRule type="cellIs" dxfId="6154" priority="8086" stopIfTrue="1" operator="between">
      <formula>0</formula>
      <formula>0.5</formula>
    </cfRule>
  </conditionalFormatting>
  <conditionalFormatting sqref="U144">
    <cfRule type="cellIs" dxfId="6153" priority="8077" operator="between">
      <formula>0.76</formula>
      <formula>0.95</formula>
    </cfRule>
    <cfRule type="cellIs" dxfId="6152" priority="8078" operator="between">
      <formula>0.51</formula>
      <formula>0.75</formula>
    </cfRule>
    <cfRule type="cellIs" dxfId="6151" priority="8079" operator="greaterThan">
      <formula>1</formula>
    </cfRule>
    <cfRule type="cellIs" dxfId="6150" priority="8080" operator="between">
      <formula>0.95</formula>
      <formula>1</formula>
    </cfRule>
    <cfRule type="cellIs" dxfId="6149" priority="8081" stopIfTrue="1" operator="between">
      <formula>0</formula>
      <formula>0.5</formula>
    </cfRule>
  </conditionalFormatting>
  <conditionalFormatting sqref="U145">
    <cfRule type="cellIs" dxfId="6148" priority="8072" operator="between">
      <formula>0.76</formula>
      <formula>0.95</formula>
    </cfRule>
    <cfRule type="cellIs" dxfId="6147" priority="8073" operator="between">
      <formula>0.51</formula>
      <formula>0.75</formula>
    </cfRule>
    <cfRule type="cellIs" dxfId="6146" priority="8074" operator="greaterThan">
      <formula>1</formula>
    </cfRule>
    <cfRule type="cellIs" dxfId="6145" priority="8075" operator="between">
      <formula>0.95</formula>
      <formula>1</formula>
    </cfRule>
    <cfRule type="cellIs" dxfId="6144" priority="8076" stopIfTrue="1" operator="between">
      <formula>0</formula>
      <formula>0.5</formula>
    </cfRule>
  </conditionalFormatting>
  <conditionalFormatting sqref="U146">
    <cfRule type="cellIs" dxfId="6143" priority="8067" operator="between">
      <formula>0.76</formula>
      <formula>0.95</formula>
    </cfRule>
    <cfRule type="cellIs" dxfId="6142" priority="8068" operator="between">
      <formula>0.51</formula>
      <formula>0.75</formula>
    </cfRule>
    <cfRule type="cellIs" dxfId="6141" priority="8069" operator="greaterThan">
      <formula>1</formula>
    </cfRule>
    <cfRule type="cellIs" dxfId="6140" priority="8070" operator="between">
      <formula>0.95</formula>
      <formula>1</formula>
    </cfRule>
    <cfRule type="cellIs" dxfId="6139" priority="8071" stopIfTrue="1" operator="between">
      <formula>0</formula>
      <formula>0.5</formula>
    </cfRule>
  </conditionalFormatting>
  <conditionalFormatting sqref="U147">
    <cfRule type="cellIs" dxfId="6138" priority="8062" operator="between">
      <formula>0.76</formula>
      <formula>0.95</formula>
    </cfRule>
    <cfRule type="cellIs" dxfId="6137" priority="8063" operator="between">
      <formula>0.51</formula>
      <formula>0.75</formula>
    </cfRule>
    <cfRule type="cellIs" dxfId="6136" priority="8064" operator="greaterThan">
      <formula>1</formula>
    </cfRule>
    <cfRule type="cellIs" dxfId="6135" priority="8065" operator="between">
      <formula>0.95</formula>
      <formula>1</formula>
    </cfRule>
    <cfRule type="cellIs" dxfId="6134" priority="8066" stopIfTrue="1" operator="between">
      <formula>0</formula>
      <formula>0.5</formula>
    </cfRule>
  </conditionalFormatting>
  <conditionalFormatting sqref="U148">
    <cfRule type="cellIs" dxfId="6133" priority="8057" operator="between">
      <formula>0.76</formula>
      <formula>0.95</formula>
    </cfRule>
    <cfRule type="cellIs" dxfId="6132" priority="8058" operator="between">
      <formula>0.51</formula>
      <formula>0.75</formula>
    </cfRule>
    <cfRule type="cellIs" dxfId="6131" priority="8059" operator="greaterThan">
      <formula>1</formula>
    </cfRule>
    <cfRule type="cellIs" dxfId="6130" priority="8060" operator="between">
      <formula>0.95</formula>
      <formula>1</formula>
    </cfRule>
    <cfRule type="cellIs" dxfId="6129" priority="8061" stopIfTrue="1" operator="between">
      <formula>0</formula>
      <formula>0.5</formula>
    </cfRule>
  </conditionalFormatting>
  <conditionalFormatting sqref="U149">
    <cfRule type="cellIs" dxfId="6128" priority="8052" operator="between">
      <formula>0.76</formula>
      <formula>0.95</formula>
    </cfRule>
    <cfRule type="cellIs" dxfId="6127" priority="8053" operator="between">
      <formula>0.51</formula>
      <formula>0.75</formula>
    </cfRule>
    <cfRule type="cellIs" dxfId="6126" priority="8054" operator="greaterThan">
      <formula>1</formula>
    </cfRule>
    <cfRule type="cellIs" dxfId="6125" priority="8055" operator="between">
      <formula>0.95</formula>
      <formula>1</formula>
    </cfRule>
    <cfRule type="cellIs" dxfId="6124" priority="8056" stopIfTrue="1" operator="between">
      <formula>0</formula>
      <formula>0.5</formula>
    </cfRule>
  </conditionalFormatting>
  <conditionalFormatting sqref="U150">
    <cfRule type="cellIs" dxfId="6123" priority="8047" operator="between">
      <formula>0.76</formula>
      <formula>0.95</formula>
    </cfRule>
    <cfRule type="cellIs" dxfId="6122" priority="8048" operator="between">
      <formula>0.51</formula>
      <formula>0.75</formula>
    </cfRule>
    <cfRule type="cellIs" dxfId="6121" priority="8049" operator="greaterThan">
      <formula>1</formula>
    </cfRule>
    <cfRule type="cellIs" dxfId="6120" priority="8050" operator="between">
      <formula>0.95</formula>
      <formula>1</formula>
    </cfRule>
    <cfRule type="cellIs" dxfId="6119" priority="8051" stopIfTrue="1" operator="between">
      <formula>0</formula>
      <formula>0.5</formula>
    </cfRule>
  </conditionalFormatting>
  <conditionalFormatting sqref="U151">
    <cfRule type="cellIs" dxfId="6118" priority="8042" operator="between">
      <formula>0.76</formula>
      <formula>0.95</formula>
    </cfRule>
    <cfRule type="cellIs" dxfId="6117" priority="8043" operator="between">
      <formula>0.51</formula>
      <formula>0.75</formula>
    </cfRule>
    <cfRule type="cellIs" dxfId="6116" priority="8044" operator="greaterThan">
      <formula>1</formula>
    </cfRule>
    <cfRule type="cellIs" dxfId="6115" priority="8045" operator="between">
      <formula>0.95</formula>
      <formula>1</formula>
    </cfRule>
    <cfRule type="cellIs" dxfId="6114" priority="8046" stopIfTrue="1" operator="between">
      <formula>0</formula>
      <formula>0.5</formula>
    </cfRule>
  </conditionalFormatting>
  <conditionalFormatting sqref="U152">
    <cfRule type="cellIs" dxfId="6113" priority="8037" operator="between">
      <formula>0.76</formula>
      <formula>0.95</formula>
    </cfRule>
    <cfRule type="cellIs" dxfId="6112" priority="8038" operator="between">
      <formula>0.51</formula>
      <formula>0.75</formula>
    </cfRule>
    <cfRule type="cellIs" dxfId="6111" priority="8039" operator="greaterThan">
      <formula>1</formula>
    </cfRule>
    <cfRule type="cellIs" dxfId="6110" priority="8040" operator="between">
      <formula>0.95</formula>
      <formula>1</formula>
    </cfRule>
    <cfRule type="cellIs" dxfId="6109" priority="8041" stopIfTrue="1" operator="between">
      <formula>0</formula>
      <formula>0.5</formula>
    </cfRule>
  </conditionalFormatting>
  <conditionalFormatting sqref="U153">
    <cfRule type="cellIs" dxfId="6108" priority="8032" operator="between">
      <formula>0.76</formula>
      <formula>0.95</formula>
    </cfRule>
    <cfRule type="cellIs" dxfId="6107" priority="8033" operator="between">
      <formula>0.51</formula>
      <formula>0.75</formula>
    </cfRule>
    <cfRule type="cellIs" dxfId="6106" priority="8034" operator="greaterThan">
      <formula>1</formula>
    </cfRule>
    <cfRule type="cellIs" dxfId="6105" priority="8035" operator="between">
      <formula>0.95</formula>
      <formula>1</formula>
    </cfRule>
    <cfRule type="cellIs" dxfId="6104" priority="8036" stopIfTrue="1" operator="between">
      <formula>0</formula>
      <formula>0.5</formula>
    </cfRule>
  </conditionalFormatting>
  <conditionalFormatting sqref="U154">
    <cfRule type="cellIs" dxfId="6103" priority="8027" operator="between">
      <formula>0.76</formula>
      <formula>0.95</formula>
    </cfRule>
    <cfRule type="cellIs" dxfId="6102" priority="8028" operator="between">
      <formula>0.51</formula>
      <formula>0.75</formula>
    </cfRule>
    <cfRule type="cellIs" dxfId="6101" priority="8029" operator="greaterThan">
      <formula>1</formula>
    </cfRule>
    <cfRule type="cellIs" dxfId="6100" priority="8030" operator="between">
      <formula>0.95</formula>
      <formula>1</formula>
    </cfRule>
    <cfRule type="cellIs" dxfId="6099" priority="8031" stopIfTrue="1" operator="between">
      <formula>0</formula>
      <formula>0.5</formula>
    </cfRule>
  </conditionalFormatting>
  <conditionalFormatting sqref="U155">
    <cfRule type="cellIs" dxfId="6098" priority="8022" operator="between">
      <formula>0.76</formula>
      <formula>0.95</formula>
    </cfRule>
    <cfRule type="cellIs" dxfId="6097" priority="8023" operator="between">
      <formula>0.51</formula>
      <formula>0.75</formula>
    </cfRule>
    <cfRule type="cellIs" dxfId="6096" priority="8024" operator="greaterThan">
      <formula>1</formula>
    </cfRule>
    <cfRule type="cellIs" dxfId="6095" priority="8025" operator="between">
      <formula>0.95</formula>
      <formula>1</formula>
    </cfRule>
    <cfRule type="cellIs" dxfId="6094" priority="8026" stopIfTrue="1" operator="between">
      <formula>0</formula>
      <formula>0.5</formula>
    </cfRule>
  </conditionalFormatting>
  <conditionalFormatting sqref="U156">
    <cfRule type="cellIs" dxfId="6093" priority="8017" operator="between">
      <formula>0.76</formula>
      <formula>0.95</formula>
    </cfRule>
    <cfRule type="cellIs" dxfId="6092" priority="8018" operator="between">
      <formula>0.51</formula>
      <formula>0.75</formula>
    </cfRule>
    <cfRule type="cellIs" dxfId="6091" priority="8019" operator="greaterThan">
      <formula>1</formula>
    </cfRule>
    <cfRule type="cellIs" dxfId="6090" priority="8020" operator="between">
      <formula>0.95</formula>
      <formula>1</formula>
    </cfRule>
    <cfRule type="cellIs" dxfId="6089" priority="8021" stopIfTrue="1" operator="between">
      <formula>0</formula>
      <formula>0.5</formula>
    </cfRule>
  </conditionalFormatting>
  <conditionalFormatting sqref="U157">
    <cfRule type="cellIs" dxfId="6088" priority="8012" operator="between">
      <formula>0.76</formula>
      <formula>0.95</formula>
    </cfRule>
    <cfRule type="cellIs" dxfId="6087" priority="8013" operator="between">
      <formula>0.51</formula>
      <formula>0.75</formula>
    </cfRule>
    <cfRule type="cellIs" dxfId="6086" priority="8014" operator="greaterThan">
      <formula>1</formula>
    </cfRule>
    <cfRule type="cellIs" dxfId="6085" priority="8015" operator="between">
      <formula>0.95</formula>
      <formula>1</formula>
    </cfRule>
    <cfRule type="cellIs" dxfId="6084" priority="8016" stopIfTrue="1" operator="between">
      <formula>0</formula>
      <formula>0.5</formula>
    </cfRule>
  </conditionalFormatting>
  <conditionalFormatting sqref="U158">
    <cfRule type="cellIs" dxfId="6083" priority="8007" operator="between">
      <formula>0.76</formula>
      <formula>0.95</formula>
    </cfRule>
    <cfRule type="cellIs" dxfId="6082" priority="8008" operator="between">
      <formula>0.51</formula>
      <formula>0.75</formula>
    </cfRule>
    <cfRule type="cellIs" dxfId="6081" priority="8009" operator="greaterThan">
      <formula>1</formula>
    </cfRule>
    <cfRule type="cellIs" dxfId="6080" priority="8010" operator="between">
      <formula>0.95</formula>
      <formula>1</formula>
    </cfRule>
    <cfRule type="cellIs" dxfId="6079" priority="8011" stopIfTrue="1" operator="between">
      <formula>0</formula>
      <formula>0.5</formula>
    </cfRule>
  </conditionalFormatting>
  <conditionalFormatting sqref="U159">
    <cfRule type="cellIs" dxfId="6078" priority="8002" operator="between">
      <formula>0.76</formula>
      <formula>0.95</formula>
    </cfRule>
    <cfRule type="cellIs" dxfId="6077" priority="8003" operator="between">
      <formula>0.51</formula>
      <formula>0.75</formula>
    </cfRule>
    <cfRule type="cellIs" dxfId="6076" priority="8004" operator="greaterThan">
      <formula>1</formula>
    </cfRule>
    <cfRule type="cellIs" dxfId="6075" priority="8005" operator="between">
      <formula>0.95</formula>
      <formula>1</formula>
    </cfRule>
    <cfRule type="cellIs" dxfId="6074" priority="8006" stopIfTrue="1" operator="between">
      <formula>0</formula>
      <formula>0.5</formula>
    </cfRule>
  </conditionalFormatting>
  <conditionalFormatting sqref="U160">
    <cfRule type="cellIs" dxfId="6073" priority="7997" operator="between">
      <formula>0.76</formula>
      <formula>0.95</formula>
    </cfRule>
    <cfRule type="cellIs" dxfId="6072" priority="7998" operator="between">
      <formula>0.51</formula>
      <formula>0.75</formula>
    </cfRule>
    <cfRule type="cellIs" dxfId="6071" priority="7999" operator="greaterThan">
      <formula>1</formula>
    </cfRule>
    <cfRule type="cellIs" dxfId="6070" priority="8000" operator="between">
      <formula>0.95</formula>
      <formula>1</formula>
    </cfRule>
    <cfRule type="cellIs" dxfId="6069" priority="8001" stopIfTrue="1" operator="between">
      <formula>0</formula>
      <formula>0.5</formula>
    </cfRule>
  </conditionalFormatting>
  <conditionalFormatting sqref="U161">
    <cfRule type="cellIs" dxfId="6068" priority="7992" operator="between">
      <formula>0.76</formula>
      <formula>0.95</formula>
    </cfRule>
    <cfRule type="cellIs" dxfId="6067" priority="7993" operator="between">
      <formula>0.51</formula>
      <formula>0.75</formula>
    </cfRule>
    <cfRule type="cellIs" dxfId="6066" priority="7994" operator="greaterThan">
      <formula>1</formula>
    </cfRule>
    <cfRule type="cellIs" dxfId="6065" priority="7995" operator="between">
      <formula>0.95</formula>
      <formula>1</formula>
    </cfRule>
    <cfRule type="cellIs" dxfId="6064" priority="7996" stopIfTrue="1" operator="between">
      <formula>0</formula>
      <formula>0.5</formula>
    </cfRule>
  </conditionalFormatting>
  <conditionalFormatting sqref="U162">
    <cfRule type="cellIs" dxfId="6063" priority="7987" operator="between">
      <formula>0.76</formula>
      <formula>0.95</formula>
    </cfRule>
    <cfRule type="cellIs" dxfId="6062" priority="7988" operator="between">
      <formula>0.51</formula>
      <formula>0.75</formula>
    </cfRule>
    <cfRule type="cellIs" dxfId="6061" priority="7989" operator="greaterThan">
      <formula>1</formula>
    </cfRule>
    <cfRule type="cellIs" dxfId="6060" priority="7990" operator="between">
      <formula>0.95</formula>
      <formula>1</formula>
    </cfRule>
    <cfRule type="cellIs" dxfId="6059" priority="7991" stopIfTrue="1" operator="between">
      <formula>0</formula>
      <formula>0.5</formula>
    </cfRule>
  </conditionalFormatting>
  <conditionalFormatting sqref="U163">
    <cfRule type="cellIs" dxfId="6058" priority="7982" operator="between">
      <formula>0.76</formula>
      <formula>0.95</formula>
    </cfRule>
    <cfRule type="cellIs" dxfId="6057" priority="7983" operator="between">
      <formula>0.51</formula>
      <formula>0.75</formula>
    </cfRule>
    <cfRule type="cellIs" dxfId="6056" priority="7984" operator="greaterThan">
      <formula>1</formula>
    </cfRule>
    <cfRule type="cellIs" dxfId="6055" priority="7985" operator="between">
      <formula>0.95</formula>
      <formula>1</formula>
    </cfRule>
    <cfRule type="cellIs" dxfId="6054" priority="7986" stopIfTrue="1" operator="between">
      <formula>0</formula>
      <formula>0.5</formula>
    </cfRule>
  </conditionalFormatting>
  <conditionalFormatting sqref="U164">
    <cfRule type="cellIs" dxfId="6053" priority="7977" operator="between">
      <formula>0.76</formula>
      <formula>0.95</formula>
    </cfRule>
    <cfRule type="cellIs" dxfId="6052" priority="7978" operator="between">
      <formula>0.51</formula>
      <formula>0.75</formula>
    </cfRule>
    <cfRule type="cellIs" dxfId="6051" priority="7979" operator="greaterThan">
      <formula>1</formula>
    </cfRule>
    <cfRule type="cellIs" dxfId="6050" priority="7980" operator="between">
      <formula>0.95</formula>
      <formula>1</formula>
    </cfRule>
    <cfRule type="cellIs" dxfId="6049" priority="7981" stopIfTrue="1" operator="between">
      <formula>0</formula>
      <formula>0.5</formula>
    </cfRule>
  </conditionalFormatting>
  <conditionalFormatting sqref="U165">
    <cfRule type="cellIs" dxfId="6048" priority="7972" operator="between">
      <formula>0.76</formula>
      <formula>0.95</formula>
    </cfRule>
    <cfRule type="cellIs" dxfId="6047" priority="7973" operator="between">
      <formula>0.51</formula>
      <formula>0.75</formula>
    </cfRule>
    <cfRule type="cellIs" dxfId="6046" priority="7974" operator="greaterThan">
      <formula>1</formula>
    </cfRule>
    <cfRule type="cellIs" dxfId="6045" priority="7975" operator="between">
      <formula>0.95</formula>
      <formula>1</formula>
    </cfRule>
    <cfRule type="cellIs" dxfId="6044" priority="7976" stopIfTrue="1" operator="between">
      <formula>0</formula>
      <formula>0.5</formula>
    </cfRule>
  </conditionalFormatting>
  <conditionalFormatting sqref="U166">
    <cfRule type="cellIs" dxfId="6043" priority="7967" operator="between">
      <formula>0.76</formula>
      <formula>0.95</formula>
    </cfRule>
    <cfRule type="cellIs" dxfId="6042" priority="7968" operator="between">
      <formula>0.51</formula>
      <formula>0.75</formula>
    </cfRule>
    <cfRule type="cellIs" dxfId="6041" priority="7969" operator="greaterThan">
      <formula>1</formula>
    </cfRule>
    <cfRule type="cellIs" dxfId="6040" priority="7970" operator="between">
      <formula>0.95</formula>
      <formula>1</formula>
    </cfRule>
    <cfRule type="cellIs" dxfId="6039" priority="7971" stopIfTrue="1" operator="between">
      <formula>0</formula>
      <formula>0.5</formula>
    </cfRule>
  </conditionalFormatting>
  <conditionalFormatting sqref="U167">
    <cfRule type="cellIs" dxfId="6038" priority="7962" operator="between">
      <formula>0.76</formula>
      <formula>0.95</formula>
    </cfRule>
    <cfRule type="cellIs" dxfId="6037" priority="7963" operator="between">
      <formula>0.51</formula>
      <formula>0.75</formula>
    </cfRule>
    <cfRule type="cellIs" dxfId="6036" priority="7964" operator="greaterThan">
      <formula>1</formula>
    </cfRule>
    <cfRule type="cellIs" dxfId="6035" priority="7965" operator="between">
      <formula>0.95</formula>
      <formula>1</formula>
    </cfRule>
    <cfRule type="cellIs" dxfId="6034" priority="7966" stopIfTrue="1" operator="between">
      <formula>0</formula>
      <formula>0.5</formula>
    </cfRule>
  </conditionalFormatting>
  <conditionalFormatting sqref="U168">
    <cfRule type="cellIs" dxfId="6033" priority="7957" operator="between">
      <formula>0.76</formula>
      <formula>0.95</formula>
    </cfRule>
    <cfRule type="cellIs" dxfId="6032" priority="7958" operator="between">
      <formula>0.51</formula>
      <formula>0.75</formula>
    </cfRule>
    <cfRule type="cellIs" dxfId="6031" priority="7959" operator="greaterThan">
      <formula>1</formula>
    </cfRule>
    <cfRule type="cellIs" dxfId="6030" priority="7960" operator="between">
      <formula>0.95</formula>
      <formula>1</formula>
    </cfRule>
    <cfRule type="cellIs" dxfId="6029" priority="7961" stopIfTrue="1" operator="between">
      <formula>0</formula>
      <formula>0.5</formula>
    </cfRule>
  </conditionalFormatting>
  <conditionalFormatting sqref="U169">
    <cfRule type="cellIs" dxfId="6028" priority="7952" operator="between">
      <formula>0.76</formula>
      <formula>0.95</formula>
    </cfRule>
    <cfRule type="cellIs" dxfId="6027" priority="7953" operator="between">
      <formula>0.51</formula>
      <formula>0.75</formula>
    </cfRule>
    <cfRule type="cellIs" dxfId="6026" priority="7954" operator="greaterThan">
      <formula>1</formula>
    </cfRule>
    <cfRule type="cellIs" dxfId="6025" priority="7955" operator="between">
      <formula>0.95</formula>
      <formula>1</formula>
    </cfRule>
    <cfRule type="cellIs" dxfId="6024" priority="7956" stopIfTrue="1" operator="between">
      <formula>0</formula>
      <formula>0.5</formula>
    </cfRule>
  </conditionalFormatting>
  <conditionalFormatting sqref="U170">
    <cfRule type="cellIs" dxfId="6023" priority="7947" operator="between">
      <formula>0.76</formula>
      <formula>0.95</formula>
    </cfRule>
    <cfRule type="cellIs" dxfId="6022" priority="7948" operator="between">
      <formula>0.51</formula>
      <formula>0.75</formula>
    </cfRule>
    <cfRule type="cellIs" dxfId="6021" priority="7949" operator="greaterThan">
      <formula>1</formula>
    </cfRule>
    <cfRule type="cellIs" dxfId="6020" priority="7950" operator="between">
      <formula>0.95</formula>
      <formula>1</formula>
    </cfRule>
    <cfRule type="cellIs" dxfId="6019" priority="7951" stopIfTrue="1" operator="between">
      <formula>0</formula>
      <formula>0.5</formula>
    </cfRule>
  </conditionalFormatting>
  <conditionalFormatting sqref="U171">
    <cfRule type="cellIs" dxfId="6018" priority="7942" operator="between">
      <formula>0.76</formula>
      <formula>0.95</formula>
    </cfRule>
    <cfRule type="cellIs" dxfId="6017" priority="7943" operator="between">
      <formula>0.51</formula>
      <formula>0.75</formula>
    </cfRule>
    <cfRule type="cellIs" dxfId="6016" priority="7944" operator="greaterThan">
      <formula>1</formula>
    </cfRule>
    <cfRule type="cellIs" dxfId="6015" priority="7945" operator="between">
      <formula>0.95</formula>
      <formula>1</formula>
    </cfRule>
    <cfRule type="cellIs" dxfId="6014" priority="7946" stopIfTrue="1" operator="between">
      <formula>0</formula>
      <formula>0.5</formula>
    </cfRule>
  </conditionalFormatting>
  <conditionalFormatting sqref="U172">
    <cfRule type="cellIs" dxfId="6013" priority="7937" operator="between">
      <formula>0.76</formula>
      <formula>0.95</formula>
    </cfRule>
    <cfRule type="cellIs" dxfId="6012" priority="7938" operator="between">
      <formula>0.51</formula>
      <formula>0.75</formula>
    </cfRule>
    <cfRule type="cellIs" dxfId="6011" priority="7939" operator="greaterThan">
      <formula>1</formula>
    </cfRule>
    <cfRule type="cellIs" dxfId="6010" priority="7940" operator="between">
      <formula>0.95</formula>
      <formula>1</formula>
    </cfRule>
    <cfRule type="cellIs" dxfId="6009" priority="7941" stopIfTrue="1" operator="between">
      <formula>0</formula>
      <formula>0.5</formula>
    </cfRule>
  </conditionalFormatting>
  <conditionalFormatting sqref="U173">
    <cfRule type="cellIs" dxfId="6008" priority="7932" operator="between">
      <formula>0.76</formula>
      <formula>0.95</formula>
    </cfRule>
    <cfRule type="cellIs" dxfId="6007" priority="7933" operator="between">
      <formula>0.51</formula>
      <formula>0.75</formula>
    </cfRule>
    <cfRule type="cellIs" dxfId="6006" priority="7934" operator="greaterThan">
      <formula>1</formula>
    </cfRule>
    <cfRule type="cellIs" dxfId="6005" priority="7935" operator="between">
      <formula>0.95</formula>
      <formula>1</formula>
    </cfRule>
    <cfRule type="cellIs" dxfId="6004" priority="7936" stopIfTrue="1" operator="between">
      <formula>0</formula>
      <formula>0.5</formula>
    </cfRule>
  </conditionalFormatting>
  <conditionalFormatting sqref="U174">
    <cfRule type="cellIs" dxfId="6003" priority="7927" operator="between">
      <formula>0.76</formula>
      <formula>0.95</formula>
    </cfRule>
    <cfRule type="cellIs" dxfId="6002" priority="7928" operator="between">
      <formula>0.51</formula>
      <formula>0.75</formula>
    </cfRule>
    <cfRule type="cellIs" dxfId="6001" priority="7929" operator="greaterThan">
      <formula>1</formula>
    </cfRule>
    <cfRule type="cellIs" dxfId="6000" priority="7930" operator="between">
      <formula>0.95</formula>
      <formula>1</formula>
    </cfRule>
    <cfRule type="cellIs" dxfId="5999" priority="7931" stopIfTrue="1" operator="between">
      <formula>0</formula>
      <formula>0.5</formula>
    </cfRule>
  </conditionalFormatting>
  <conditionalFormatting sqref="U175">
    <cfRule type="cellIs" dxfId="5998" priority="7922" operator="between">
      <formula>0.76</formula>
      <formula>0.95</formula>
    </cfRule>
    <cfRule type="cellIs" dxfId="5997" priority="7923" operator="between">
      <formula>0.51</formula>
      <formula>0.75</formula>
    </cfRule>
    <cfRule type="cellIs" dxfId="5996" priority="7924" operator="greaterThan">
      <formula>1</formula>
    </cfRule>
    <cfRule type="cellIs" dxfId="5995" priority="7925" operator="between">
      <formula>0.95</formula>
      <formula>1</formula>
    </cfRule>
    <cfRule type="cellIs" dxfId="5994" priority="7926" stopIfTrue="1" operator="between">
      <formula>0</formula>
      <formula>0.5</formula>
    </cfRule>
  </conditionalFormatting>
  <conditionalFormatting sqref="U176">
    <cfRule type="cellIs" dxfId="5993" priority="7917" operator="between">
      <formula>0.76</formula>
      <formula>0.95</formula>
    </cfRule>
    <cfRule type="cellIs" dxfId="5992" priority="7918" operator="between">
      <formula>0.51</formula>
      <formula>0.75</formula>
    </cfRule>
    <cfRule type="cellIs" dxfId="5991" priority="7919" operator="greaterThan">
      <formula>1</formula>
    </cfRule>
    <cfRule type="cellIs" dxfId="5990" priority="7920" operator="between">
      <formula>0.95</formula>
      <formula>1</formula>
    </cfRule>
    <cfRule type="cellIs" dxfId="5989" priority="7921" stopIfTrue="1" operator="between">
      <formula>0</formula>
      <formula>0.5</formula>
    </cfRule>
  </conditionalFormatting>
  <conditionalFormatting sqref="U177">
    <cfRule type="cellIs" dxfId="5988" priority="7912" operator="between">
      <formula>0.76</formula>
      <formula>0.95</formula>
    </cfRule>
    <cfRule type="cellIs" dxfId="5987" priority="7913" operator="between">
      <formula>0.51</formula>
      <formula>0.75</formula>
    </cfRule>
    <cfRule type="cellIs" dxfId="5986" priority="7914" operator="greaterThan">
      <formula>1</formula>
    </cfRule>
    <cfRule type="cellIs" dxfId="5985" priority="7915" operator="between">
      <formula>0.95</formula>
      <formula>1</formula>
    </cfRule>
    <cfRule type="cellIs" dxfId="5984" priority="7916" stopIfTrue="1" operator="between">
      <formula>0</formula>
      <formula>0.5</formula>
    </cfRule>
  </conditionalFormatting>
  <conditionalFormatting sqref="U178">
    <cfRule type="cellIs" dxfId="5983" priority="7907" operator="between">
      <formula>0.76</formula>
      <formula>0.95</formula>
    </cfRule>
    <cfRule type="cellIs" dxfId="5982" priority="7908" operator="between">
      <formula>0.51</formula>
      <formula>0.75</formula>
    </cfRule>
    <cfRule type="cellIs" dxfId="5981" priority="7909" operator="greaterThan">
      <formula>1</formula>
    </cfRule>
    <cfRule type="cellIs" dxfId="5980" priority="7910" operator="between">
      <formula>0.95</formula>
      <formula>1</formula>
    </cfRule>
    <cfRule type="cellIs" dxfId="5979" priority="7911" stopIfTrue="1" operator="between">
      <formula>0</formula>
      <formula>0.5</formula>
    </cfRule>
  </conditionalFormatting>
  <conditionalFormatting sqref="U179">
    <cfRule type="cellIs" dxfId="5978" priority="7902" operator="between">
      <formula>0.76</formula>
      <formula>0.95</formula>
    </cfRule>
    <cfRule type="cellIs" dxfId="5977" priority="7903" operator="between">
      <formula>0.51</formula>
      <formula>0.75</formula>
    </cfRule>
    <cfRule type="cellIs" dxfId="5976" priority="7904" operator="greaterThan">
      <formula>1</formula>
    </cfRule>
    <cfRule type="cellIs" dxfId="5975" priority="7905" operator="between">
      <formula>0.95</formula>
      <formula>1</formula>
    </cfRule>
    <cfRule type="cellIs" dxfId="5974" priority="7906" stopIfTrue="1" operator="between">
      <formula>0</formula>
      <formula>0.5</formula>
    </cfRule>
  </conditionalFormatting>
  <conditionalFormatting sqref="U180">
    <cfRule type="cellIs" dxfId="5973" priority="7897" operator="between">
      <formula>0.76</formula>
      <formula>0.95</formula>
    </cfRule>
    <cfRule type="cellIs" dxfId="5972" priority="7898" operator="between">
      <formula>0.51</formula>
      <formula>0.75</formula>
    </cfRule>
    <cfRule type="cellIs" dxfId="5971" priority="7899" operator="greaterThan">
      <formula>1</formula>
    </cfRule>
    <cfRule type="cellIs" dxfId="5970" priority="7900" operator="between">
      <formula>0.95</formula>
      <formula>1</formula>
    </cfRule>
    <cfRule type="cellIs" dxfId="5969" priority="7901" stopIfTrue="1" operator="between">
      <formula>0</formula>
      <formula>0.5</formula>
    </cfRule>
  </conditionalFormatting>
  <conditionalFormatting sqref="U181">
    <cfRule type="cellIs" dxfId="5968" priority="7892" operator="between">
      <formula>0.76</formula>
      <formula>0.95</formula>
    </cfRule>
    <cfRule type="cellIs" dxfId="5967" priority="7893" operator="between">
      <formula>0.51</formula>
      <formula>0.75</formula>
    </cfRule>
    <cfRule type="cellIs" dxfId="5966" priority="7894" operator="greaterThan">
      <formula>1</formula>
    </cfRule>
    <cfRule type="cellIs" dxfId="5965" priority="7895" operator="between">
      <formula>0.95</formula>
      <formula>1</formula>
    </cfRule>
    <cfRule type="cellIs" dxfId="5964" priority="7896" stopIfTrue="1" operator="between">
      <formula>0</formula>
      <formula>0.5</formula>
    </cfRule>
  </conditionalFormatting>
  <conditionalFormatting sqref="U182">
    <cfRule type="cellIs" dxfId="5963" priority="7887" operator="between">
      <formula>0.76</formula>
      <formula>0.95</formula>
    </cfRule>
    <cfRule type="cellIs" dxfId="5962" priority="7888" operator="between">
      <formula>0.51</formula>
      <formula>0.75</formula>
    </cfRule>
    <cfRule type="cellIs" dxfId="5961" priority="7889" operator="greaterThan">
      <formula>1</formula>
    </cfRule>
    <cfRule type="cellIs" dxfId="5960" priority="7890" operator="between">
      <formula>0.95</formula>
      <formula>1</formula>
    </cfRule>
    <cfRule type="cellIs" dxfId="5959" priority="7891" stopIfTrue="1" operator="between">
      <formula>0</formula>
      <formula>0.5</formula>
    </cfRule>
  </conditionalFormatting>
  <conditionalFormatting sqref="U183">
    <cfRule type="cellIs" dxfId="5958" priority="7882" operator="between">
      <formula>0.76</formula>
      <formula>0.95</formula>
    </cfRule>
    <cfRule type="cellIs" dxfId="5957" priority="7883" operator="between">
      <formula>0.51</formula>
      <formula>0.75</formula>
    </cfRule>
    <cfRule type="cellIs" dxfId="5956" priority="7884" operator="greaterThan">
      <formula>1</formula>
    </cfRule>
    <cfRule type="cellIs" dxfId="5955" priority="7885" operator="between">
      <formula>0.95</formula>
      <formula>1</formula>
    </cfRule>
    <cfRule type="cellIs" dxfId="5954" priority="7886" stopIfTrue="1" operator="between">
      <formula>0</formula>
      <formula>0.5</formula>
    </cfRule>
  </conditionalFormatting>
  <conditionalFormatting sqref="U184">
    <cfRule type="cellIs" dxfId="5953" priority="7877" operator="between">
      <formula>0.76</formula>
      <formula>0.95</formula>
    </cfRule>
    <cfRule type="cellIs" dxfId="5952" priority="7878" operator="between">
      <formula>0.51</formula>
      <formula>0.75</formula>
    </cfRule>
    <cfRule type="cellIs" dxfId="5951" priority="7879" operator="greaterThan">
      <formula>1</formula>
    </cfRule>
    <cfRule type="cellIs" dxfId="5950" priority="7880" operator="between">
      <formula>0.95</formula>
      <formula>1</formula>
    </cfRule>
    <cfRule type="cellIs" dxfId="5949" priority="7881" stopIfTrue="1" operator="between">
      <formula>0</formula>
      <formula>0.5</formula>
    </cfRule>
  </conditionalFormatting>
  <conditionalFormatting sqref="U185">
    <cfRule type="cellIs" dxfId="5948" priority="7872" operator="between">
      <formula>0.76</formula>
      <formula>0.95</formula>
    </cfRule>
    <cfRule type="cellIs" dxfId="5947" priority="7873" operator="between">
      <formula>0.51</formula>
      <formula>0.75</formula>
    </cfRule>
    <cfRule type="cellIs" dxfId="5946" priority="7874" operator="greaterThan">
      <formula>1</formula>
    </cfRule>
    <cfRule type="cellIs" dxfId="5945" priority="7875" operator="between">
      <formula>0.95</formula>
      <formula>1</formula>
    </cfRule>
    <cfRule type="cellIs" dxfId="5944" priority="7876" stopIfTrue="1" operator="between">
      <formula>0</formula>
      <formula>0.5</formula>
    </cfRule>
  </conditionalFormatting>
  <conditionalFormatting sqref="U186">
    <cfRule type="cellIs" dxfId="5943" priority="7867" operator="between">
      <formula>0.76</formula>
      <formula>0.95</formula>
    </cfRule>
    <cfRule type="cellIs" dxfId="5942" priority="7868" operator="between">
      <formula>0.51</formula>
      <formula>0.75</formula>
    </cfRule>
    <cfRule type="cellIs" dxfId="5941" priority="7869" operator="greaterThan">
      <formula>1</formula>
    </cfRule>
    <cfRule type="cellIs" dxfId="5940" priority="7870" operator="between">
      <formula>0.95</formula>
      <formula>1</formula>
    </cfRule>
    <cfRule type="cellIs" dxfId="5939" priority="7871" stopIfTrue="1" operator="between">
      <formula>0</formula>
      <formula>0.5</formula>
    </cfRule>
  </conditionalFormatting>
  <conditionalFormatting sqref="U187">
    <cfRule type="cellIs" dxfId="5938" priority="7862" operator="between">
      <formula>0.76</formula>
      <formula>0.95</formula>
    </cfRule>
    <cfRule type="cellIs" dxfId="5937" priority="7863" operator="between">
      <formula>0.51</formula>
      <formula>0.75</formula>
    </cfRule>
    <cfRule type="cellIs" dxfId="5936" priority="7864" operator="greaterThan">
      <formula>1</formula>
    </cfRule>
    <cfRule type="cellIs" dxfId="5935" priority="7865" operator="between">
      <formula>0.95</formula>
      <formula>1</formula>
    </cfRule>
    <cfRule type="cellIs" dxfId="5934" priority="7866" stopIfTrue="1" operator="between">
      <formula>0</formula>
      <formula>0.5</formula>
    </cfRule>
  </conditionalFormatting>
  <conditionalFormatting sqref="U188">
    <cfRule type="cellIs" dxfId="5933" priority="7857" operator="between">
      <formula>0.76</formula>
      <formula>0.95</formula>
    </cfRule>
    <cfRule type="cellIs" dxfId="5932" priority="7858" operator="between">
      <formula>0.51</formula>
      <formula>0.75</formula>
    </cfRule>
    <cfRule type="cellIs" dxfId="5931" priority="7859" operator="greaterThan">
      <formula>1</formula>
    </cfRule>
    <cfRule type="cellIs" dxfId="5930" priority="7860" operator="between">
      <formula>0.95</formula>
      <formula>1</formula>
    </cfRule>
    <cfRule type="cellIs" dxfId="5929" priority="7861" stopIfTrue="1" operator="between">
      <formula>0</formula>
      <formula>0.5</formula>
    </cfRule>
  </conditionalFormatting>
  <conditionalFormatting sqref="U189">
    <cfRule type="cellIs" dxfId="5928" priority="7852" operator="between">
      <formula>0.76</formula>
      <formula>0.95</formula>
    </cfRule>
    <cfRule type="cellIs" dxfId="5927" priority="7853" operator="between">
      <formula>0.51</formula>
      <formula>0.75</formula>
    </cfRule>
    <cfRule type="cellIs" dxfId="5926" priority="7854" operator="greaterThan">
      <formula>1</formula>
    </cfRule>
    <cfRule type="cellIs" dxfId="5925" priority="7855" operator="between">
      <formula>0.95</formula>
      <formula>1</formula>
    </cfRule>
    <cfRule type="cellIs" dxfId="5924" priority="7856" stopIfTrue="1" operator="between">
      <formula>0</formula>
      <formula>0.5</formula>
    </cfRule>
  </conditionalFormatting>
  <conditionalFormatting sqref="U190">
    <cfRule type="cellIs" dxfId="5923" priority="7847" operator="between">
      <formula>0.76</formula>
      <formula>0.95</formula>
    </cfRule>
    <cfRule type="cellIs" dxfId="5922" priority="7848" operator="between">
      <formula>0.51</formula>
      <formula>0.75</formula>
    </cfRule>
    <cfRule type="cellIs" dxfId="5921" priority="7849" operator="greaterThan">
      <formula>1</formula>
    </cfRule>
    <cfRule type="cellIs" dxfId="5920" priority="7850" operator="between">
      <formula>0.95</formula>
      <formula>1</formula>
    </cfRule>
    <cfRule type="cellIs" dxfId="5919" priority="7851" stopIfTrue="1" operator="between">
      <formula>0</formula>
      <formula>0.5</formula>
    </cfRule>
  </conditionalFormatting>
  <conditionalFormatting sqref="U191">
    <cfRule type="cellIs" dxfId="5918" priority="7842" operator="between">
      <formula>0.76</formula>
      <formula>0.95</formula>
    </cfRule>
    <cfRule type="cellIs" dxfId="5917" priority="7843" operator="between">
      <formula>0.51</formula>
      <formula>0.75</formula>
    </cfRule>
    <cfRule type="cellIs" dxfId="5916" priority="7844" operator="greaterThan">
      <formula>1</formula>
    </cfRule>
    <cfRule type="cellIs" dxfId="5915" priority="7845" operator="between">
      <formula>0.95</formula>
      <formula>1</formula>
    </cfRule>
    <cfRule type="cellIs" dxfId="5914" priority="7846" stopIfTrue="1" operator="between">
      <formula>0</formula>
      <formula>0.5</formula>
    </cfRule>
  </conditionalFormatting>
  <conditionalFormatting sqref="U192">
    <cfRule type="cellIs" dxfId="5913" priority="7837" operator="between">
      <formula>0.76</formula>
      <formula>0.95</formula>
    </cfRule>
    <cfRule type="cellIs" dxfId="5912" priority="7838" operator="between">
      <formula>0.51</formula>
      <formula>0.75</formula>
    </cfRule>
    <cfRule type="cellIs" dxfId="5911" priority="7839" operator="greaterThan">
      <formula>1</formula>
    </cfRule>
    <cfRule type="cellIs" dxfId="5910" priority="7840" operator="between">
      <formula>0.95</formula>
      <formula>1</formula>
    </cfRule>
    <cfRule type="cellIs" dxfId="5909" priority="7841" stopIfTrue="1" operator="between">
      <formula>0</formula>
      <formula>0.5</formula>
    </cfRule>
  </conditionalFormatting>
  <conditionalFormatting sqref="U193">
    <cfRule type="cellIs" dxfId="5908" priority="7832" operator="between">
      <formula>0.76</formula>
      <formula>0.95</formula>
    </cfRule>
    <cfRule type="cellIs" dxfId="5907" priority="7833" operator="between">
      <formula>0.51</formula>
      <formula>0.75</formula>
    </cfRule>
    <cfRule type="cellIs" dxfId="5906" priority="7834" operator="greaterThan">
      <formula>1</formula>
    </cfRule>
    <cfRule type="cellIs" dxfId="5905" priority="7835" operator="between">
      <formula>0.95</formula>
      <formula>1</formula>
    </cfRule>
    <cfRule type="cellIs" dxfId="5904" priority="7836" stopIfTrue="1" operator="between">
      <formula>0</formula>
      <formula>0.5</formula>
    </cfRule>
  </conditionalFormatting>
  <conditionalFormatting sqref="U194">
    <cfRule type="cellIs" dxfId="5903" priority="7827" operator="between">
      <formula>0.76</formula>
      <formula>0.95</formula>
    </cfRule>
    <cfRule type="cellIs" dxfId="5902" priority="7828" operator="between">
      <formula>0.51</formula>
      <formula>0.75</formula>
    </cfRule>
    <cfRule type="cellIs" dxfId="5901" priority="7829" operator="greaterThan">
      <formula>1</formula>
    </cfRule>
    <cfRule type="cellIs" dxfId="5900" priority="7830" operator="between">
      <formula>0.95</formula>
      <formula>1</formula>
    </cfRule>
    <cfRule type="cellIs" dxfId="5899" priority="7831" stopIfTrue="1" operator="between">
      <formula>0</formula>
      <formula>0.5</formula>
    </cfRule>
  </conditionalFormatting>
  <conditionalFormatting sqref="U195">
    <cfRule type="cellIs" dxfId="5898" priority="7822" operator="between">
      <formula>0.76</formula>
      <formula>0.95</formula>
    </cfRule>
    <cfRule type="cellIs" dxfId="5897" priority="7823" operator="between">
      <formula>0.51</formula>
      <formula>0.75</formula>
    </cfRule>
    <cfRule type="cellIs" dxfId="5896" priority="7824" operator="greaterThan">
      <formula>1</formula>
    </cfRule>
    <cfRule type="cellIs" dxfId="5895" priority="7825" operator="between">
      <formula>0.95</formula>
      <formula>1</formula>
    </cfRule>
    <cfRule type="cellIs" dxfId="5894" priority="7826" stopIfTrue="1" operator="between">
      <formula>0</formula>
      <formula>0.5</formula>
    </cfRule>
  </conditionalFormatting>
  <conditionalFormatting sqref="U196">
    <cfRule type="cellIs" dxfId="5893" priority="7817" operator="between">
      <formula>0.76</formula>
      <formula>0.95</formula>
    </cfRule>
    <cfRule type="cellIs" dxfId="5892" priority="7818" operator="between">
      <formula>0.51</formula>
      <formula>0.75</formula>
    </cfRule>
    <cfRule type="cellIs" dxfId="5891" priority="7819" operator="greaterThan">
      <formula>1</formula>
    </cfRule>
    <cfRule type="cellIs" dxfId="5890" priority="7820" operator="between">
      <formula>0.95</formula>
      <formula>1</formula>
    </cfRule>
    <cfRule type="cellIs" dxfId="5889" priority="7821" stopIfTrue="1" operator="between">
      <formula>0</formula>
      <formula>0.5</formula>
    </cfRule>
  </conditionalFormatting>
  <conditionalFormatting sqref="U197">
    <cfRule type="cellIs" dxfId="5888" priority="7812" operator="between">
      <formula>0.76</formula>
      <formula>0.95</formula>
    </cfRule>
    <cfRule type="cellIs" dxfId="5887" priority="7813" operator="between">
      <formula>0.51</formula>
      <formula>0.75</formula>
    </cfRule>
    <cfRule type="cellIs" dxfId="5886" priority="7814" operator="greaterThan">
      <formula>1</formula>
    </cfRule>
    <cfRule type="cellIs" dxfId="5885" priority="7815" operator="between">
      <formula>0.95</formula>
      <formula>1</formula>
    </cfRule>
    <cfRule type="cellIs" dxfId="5884" priority="7816" stopIfTrue="1" operator="between">
      <formula>0</formula>
      <formula>0.5</formula>
    </cfRule>
  </conditionalFormatting>
  <conditionalFormatting sqref="U199">
    <cfRule type="cellIs" dxfId="5883" priority="7807" operator="between">
      <formula>0.76</formula>
      <formula>0.95</formula>
    </cfRule>
    <cfRule type="cellIs" dxfId="5882" priority="7808" operator="between">
      <formula>0.51</formula>
      <formula>0.75</formula>
    </cfRule>
    <cfRule type="cellIs" dxfId="5881" priority="7809" operator="greaterThan">
      <formula>1</formula>
    </cfRule>
    <cfRule type="cellIs" dxfId="5880" priority="7810" operator="between">
      <formula>0.95</formula>
      <formula>1</formula>
    </cfRule>
    <cfRule type="cellIs" dxfId="5879" priority="7811" stopIfTrue="1" operator="between">
      <formula>0</formula>
      <formula>0.5</formula>
    </cfRule>
  </conditionalFormatting>
  <conditionalFormatting sqref="U200">
    <cfRule type="cellIs" dxfId="5878" priority="7802" operator="between">
      <formula>0.76</formula>
      <formula>0.95</formula>
    </cfRule>
    <cfRule type="cellIs" dxfId="5877" priority="7803" operator="between">
      <formula>0.51</formula>
      <formula>0.75</formula>
    </cfRule>
    <cfRule type="cellIs" dxfId="5876" priority="7804" operator="greaterThan">
      <formula>1</formula>
    </cfRule>
    <cfRule type="cellIs" dxfId="5875" priority="7805" operator="between">
      <formula>0.95</formula>
      <formula>1</formula>
    </cfRule>
    <cfRule type="cellIs" dxfId="5874" priority="7806" stopIfTrue="1" operator="between">
      <formula>0</formula>
      <formula>0.5</formula>
    </cfRule>
  </conditionalFormatting>
  <conditionalFormatting sqref="U201">
    <cfRule type="cellIs" dxfId="5873" priority="7797" operator="between">
      <formula>0.76</formula>
      <formula>0.95</formula>
    </cfRule>
    <cfRule type="cellIs" dxfId="5872" priority="7798" operator="between">
      <formula>0.51</formula>
      <formula>0.75</formula>
    </cfRule>
    <cfRule type="cellIs" dxfId="5871" priority="7799" operator="greaterThan">
      <formula>1</formula>
    </cfRule>
    <cfRule type="cellIs" dxfId="5870" priority="7800" operator="between">
      <formula>0.95</formula>
      <formula>1</formula>
    </cfRule>
    <cfRule type="cellIs" dxfId="5869" priority="7801" stopIfTrue="1" operator="between">
      <formula>0</formula>
      <formula>0.5</formula>
    </cfRule>
  </conditionalFormatting>
  <conditionalFormatting sqref="U202">
    <cfRule type="cellIs" dxfId="5868" priority="7792" operator="between">
      <formula>0.76</formula>
      <formula>0.95</formula>
    </cfRule>
    <cfRule type="cellIs" dxfId="5867" priority="7793" operator="between">
      <formula>0.51</formula>
      <formula>0.75</formula>
    </cfRule>
    <cfRule type="cellIs" dxfId="5866" priority="7794" operator="greaterThan">
      <formula>1</formula>
    </cfRule>
    <cfRule type="cellIs" dxfId="5865" priority="7795" operator="between">
      <formula>0.95</formula>
      <formula>1</formula>
    </cfRule>
    <cfRule type="cellIs" dxfId="5864" priority="7796" stopIfTrue="1" operator="between">
      <formula>0</formula>
      <formula>0.5</formula>
    </cfRule>
  </conditionalFormatting>
  <conditionalFormatting sqref="U203">
    <cfRule type="cellIs" dxfId="5863" priority="7787" operator="between">
      <formula>0.76</formula>
      <formula>0.95</formula>
    </cfRule>
    <cfRule type="cellIs" dxfId="5862" priority="7788" operator="between">
      <formula>0.51</formula>
      <formula>0.75</formula>
    </cfRule>
    <cfRule type="cellIs" dxfId="5861" priority="7789" operator="greaterThan">
      <formula>1</formula>
    </cfRule>
    <cfRule type="cellIs" dxfId="5860" priority="7790" operator="between">
      <formula>0.95</formula>
      <formula>1</formula>
    </cfRule>
    <cfRule type="cellIs" dxfId="5859" priority="7791" stopIfTrue="1" operator="between">
      <formula>0</formula>
      <formula>0.5</formula>
    </cfRule>
  </conditionalFormatting>
  <conditionalFormatting sqref="U204">
    <cfRule type="cellIs" dxfId="5858" priority="7782" operator="between">
      <formula>0.76</formula>
      <formula>0.95</formula>
    </cfRule>
    <cfRule type="cellIs" dxfId="5857" priority="7783" operator="between">
      <formula>0.51</formula>
      <formula>0.75</formula>
    </cfRule>
    <cfRule type="cellIs" dxfId="5856" priority="7784" operator="greaterThan">
      <formula>1</formula>
    </cfRule>
    <cfRule type="cellIs" dxfId="5855" priority="7785" operator="between">
      <formula>0.95</formula>
      <formula>1</formula>
    </cfRule>
    <cfRule type="cellIs" dxfId="5854" priority="7786" stopIfTrue="1" operator="between">
      <formula>0</formula>
      <formula>0.5</formula>
    </cfRule>
  </conditionalFormatting>
  <conditionalFormatting sqref="U205">
    <cfRule type="cellIs" dxfId="5853" priority="7777" operator="between">
      <formula>0.76</formula>
      <formula>0.95</formula>
    </cfRule>
    <cfRule type="cellIs" dxfId="5852" priority="7778" operator="between">
      <formula>0.51</formula>
      <formula>0.75</formula>
    </cfRule>
    <cfRule type="cellIs" dxfId="5851" priority="7779" operator="greaterThan">
      <formula>1</formula>
    </cfRule>
    <cfRule type="cellIs" dxfId="5850" priority="7780" operator="between">
      <formula>0.95</formula>
      <formula>1</formula>
    </cfRule>
    <cfRule type="cellIs" dxfId="5849" priority="7781" stopIfTrue="1" operator="between">
      <formula>0</formula>
      <formula>0.5</formula>
    </cfRule>
  </conditionalFormatting>
  <conditionalFormatting sqref="U207">
    <cfRule type="cellIs" dxfId="5848" priority="7772" operator="between">
      <formula>0.76</formula>
      <formula>0.95</formula>
    </cfRule>
    <cfRule type="cellIs" dxfId="5847" priority="7773" operator="between">
      <formula>0.51</formula>
      <formula>0.75</formula>
    </cfRule>
    <cfRule type="cellIs" dxfId="5846" priority="7774" operator="greaterThan">
      <formula>1</formula>
    </cfRule>
    <cfRule type="cellIs" dxfId="5845" priority="7775" operator="between">
      <formula>0.95</formula>
      <formula>1</formula>
    </cfRule>
    <cfRule type="cellIs" dxfId="5844" priority="7776" stopIfTrue="1" operator="between">
      <formula>0</formula>
      <formula>0.5</formula>
    </cfRule>
  </conditionalFormatting>
  <conditionalFormatting sqref="U208">
    <cfRule type="cellIs" dxfId="5843" priority="7767" operator="between">
      <formula>0.76</formula>
      <formula>0.95</formula>
    </cfRule>
    <cfRule type="cellIs" dxfId="5842" priority="7768" operator="between">
      <formula>0.51</formula>
      <formula>0.75</formula>
    </cfRule>
    <cfRule type="cellIs" dxfId="5841" priority="7769" operator="greaterThan">
      <formula>1</formula>
    </cfRule>
    <cfRule type="cellIs" dxfId="5840" priority="7770" operator="between">
      <formula>0.95</formula>
      <formula>1</formula>
    </cfRule>
    <cfRule type="cellIs" dxfId="5839" priority="7771" stopIfTrue="1" operator="between">
      <formula>0</formula>
      <formula>0.5</formula>
    </cfRule>
  </conditionalFormatting>
  <conditionalFormatting sqref="U209">
    <cfRule type="cellIs" dxfId="5838" priority="7762" operator="between">
      <formula>0.76</formula>
      <formula>0.95</formula>
    </cfRule>
    <cfRule type="cellIs" dxfId="5837" priority="7763" operator="between">
      <formula>0.51</formula>
      <formula>0.75</formula>
    </cfRule>
    <cfRule type="cellIs" dxfId="5836" priority="7764" operator="greaterThan">
      <formula>1</formula>
    </cfRule>
    <cfRule type="cellIs" dxfId="5835" priority="7765" operator="between">
      <formula>0.95</formula>
      <formula>1</formula>
    </cfRule>
    <cfRule type="cellIs" dxfId="5834" priority="7766" stopIfTrue="1" operator="between">
      <formula>0</formula>
      <formula>0.5</formula>
    </cfRule>
  </conditionalFormatting>
  <conditionalFormatting sqref="U210">
    <cfRule type="cellIs" dxfId="5833" priority="7757" operator="between">
      <formula>0.76</formula>
      <formula>0.95</formula>
    </cfRule>
    <cfRule type="cellIs" dxfId="5832" priority="7758" operator="between">
      <formula>0.51</formula>
      <formula>0.75</formula>
    </cfRule>
    <cfRule type="cellIs" dxfId="5831" priority="7759" operator="greaterThan">
      <formula>1</formula>
    </cfRule>
    <cfRule type="cellIs" dxfId="5830" priority="7760" operator="between">
      <formula>0.95</formula>
      <formula>1</formula>
    </cfRule>
    <cfRule type="cellIs" dxfId="5829" priority="7761" stopIfTrue="1" operator="between">
      <formula>0</formula>
      <formula>0.5</formula>
    </cfRule>
  </conditionalFormatting>
  <conditionalFormatting sqref="U211">
    <cfRule type="cellIs" dxfId="5828" priority="7752" operator="between">
      <formula>0.76</formula>
      <formula>0.95</formula>
    </cfRule>
    <cfRule type="cellIs" dxfId="5827" priority="7753" operator="between">
      <formula>0.51</formula>
      <formula>0.75</formula>
    </cfRule>
    <cfRule type="cellIs" dxfId="5826" priority="7754" operator="greaterThan">
      <formula>1</formula>
    </cfRule>
    <cfRule type="cellIs" dxfId="5825" priority="7755" operator="between">
      <formula>0.95</formula>
      <formula>1</formula>
    </cfRule>
    <cfRule type="cellIs" dxfId="5824" priority="7756" stopIfTrue="1" operator="between">
      <formula>0</formula>
      <formula>0.5</formula>
    </cfRule>
  </conditionalFormatting>
  <conditionalFormatting sqref="U212">
    <cfRule type="cellIs" dxfId="5823" priority="7747" operator="between">
      <formula>0.76</formula>
      <formula>0.95</formula>
    </cfRule>
    <cfRule type="cellIs" dxfId="5822" priority="7748" operator="between">
      <formula>0.51</formula>
      <formula>0.75</formula>
    </cfRule>
    <cfRule type="cellIs" dxfId="5821" priority="7749" operator="greaterThan">
      <formula>1</formula>
    </cfRule>
    <cfRule type="cellIs" dxfId="5820" priority="7750" operator="between">
      <formula>0.95</formula>
      <formula>1</formula>
    </cfRule>
    <cfRule type="cellIs" dxfId="5819" priority="7751" stopIfTrue="1" operator="between">
      <formula>0</formula>
      <formula>0.5</formula>
    </cfRule>
  </conditionalFormatting>
  <conditionalFormatting sqref="U213">
    <cfRule type="cellIs" dxfId="5818" priority="7742" operator="between">
      <formula>0.76</formula>
      <formula>0.95</formula>
    </cfRule>
    <cfRule type="cellIs" dxfId="5817" priority="7743" operator="between">
      <formula>0.51</formula>
      <formula>0.75</formula>
    </cfRule>
    <cfRule type="cellIs" dxfId="5816" priority="7744" operator="greaterThan">
      <formula>1</formula>
    </cfRule>
    <cfRule type="cellIs" dxfId="5815" priority="7745" operator="between">
      <formula>0.95</formula>
      <formula>1</formula>
    </cfRule>
    <cfRule type="cellIs" dxfId="5814" priority="7746" stopIfTrue="1" operator="between">
      <formula>0</formula>
      <formula>0.5</formula>
    </cfRule>
  </conditionalFormatting>
  <conditionalFormatting sqref="U214">
    <cfRule type="cellIs" dxfId="5813" priority="7737" operator="between">
      <formula>0.76</formula>
      <formula>0.95</formula>
    </cfRule>
    <cfRule type="cellIs" dxfId="5812" priority="7738" operator="between">
      <formula>0.51</formula>
      <formula>0.75</formula>
    </cfRule>
    <cfRule type="cellIs" dxfId="5811" priority="7739" operator="greaterThan">
      <formula>1</formula>
    </cfRule>
    <cfRule type="cellIs" dxfId="5810" priority="7740" operator="between">
      <formula>0.95</formula>
      <formula>1</formula>
    </cfRule>
    <cfRule type="cellIs" dxfId="5809" priority="7741" stopIfTrue="1" operator="between">
      <formula>0</formula>
      <formula>0.5</formula>
    </cfRule>
  </conditionalFormatting>
  <conditionalFormatting sqref="U215">
    <cfRule type="cellIs" dxfId="5808" priority="7732" operator="between">
      <formula>0.76</formula>
      <formula>0.95</formula>
    </cfRule>
    <cfRule type="cellIs" dxfId="5807" priority="7733" operator="between">
      <formula>0.51</formula>
      <formula>0.75</formula>
    </cfRule>
    <cfRule type="cellIs" dxfId="5806" priority="7734" operator="greaterThan">
      <formula>1</formula>
    </cfRule>
    <cfRule type="cellIs" dxfId="5805" priority="7735" operator="between">
      <formula>0.95</formula>
      <formula>1</formula>
    </cfRule>
    <cfRule type="cellIs" dxfId="5804" priority="7736" stopIfTrue="1" operator="between">
      <formula>0</formula>
      <formula>0.5</formula>
    </cfRule>
  </conditionalFormatting>
  <conditionalFormatting sqref="U216">
    <cfRule type="cellIs" dxfId="5803" priority="7727" operator="between">
      <formula>0.76</formula>
      <formula>0.95</formula>
    </cfRule>
    <cfRule type="cellIs" dxfId="5802" priority="7728" operator="between">
      <formula>0.51</formula>
      <formula>0.75</formula>
    </cfRule>
    <cfRule type="cellIs" dxfId="5801" priority="7729" operator="greaterThan">
      <formula>1</formula>
    </cfRule>
    <cfRule type="cellIs" dxfId="5800" priority="7730" operator="between">
      <formula>0.95</formula>
      <formula>1</formula>
    </cfRule>
    <cfRule type="cellIs" dxfId="5799" priority="7731" stopIfTrue="1" operator="between">
      <formula>0</formula>
      <formula>0.5</formula>
    </cfRule>
  </conditionalFormatting>
  <conditionalFormatting sqref="U217">
    <cfRule type="cellIs" dxfId="5798" priority="7722" operator="between">
      <formula>0.76</formula>
      <formula>0.95</formula>
    </cfRule>
    <cfRule type="cellIs" dxfId="5797" priority="7723" operator="between">
      <formula>0.51</formula>
      <formula>0.75</formula>
    </cfRule>
    <cfRule type="cellIs" dxfId="5796" priority="7724" operator="greaterThan">
      <formula>1</formula>
    </cfRule>
    <cfRule type="cellIs" dxfId="5795" priority="7725" operator="between">
      <formula>0.95</formula>
      <formula>1</formula>
    </cfRule>
    <cfRule type="cellIs" dxfId="5794" priority="7726" stopIfTrue="1" operator="between">
      <formula>0</formula>
      <formula>0.5</formula>
    </cfRule>
  </conditionalFormatting>
  <conditionalFormatting sqref="J18">
    <cfRule type="cellIs" dxfId="5793" priority="7107" operator="between">
      <formula>0.76</formula>
      <formula>0.95</formula>
    </cfRule>
    <cfRule type="cellIs" dxfId="5792" priority="7108" operator="between">
      <formula>0.51</formula>
      <formula>0.75</formula>
    </cfRule>
    <cfRule type="cellIs" dxfId="5791" priority="7109" operator="greaterThan">
      <formula>1</formula>
    </cfRule>
    <cfRule type="cellIs" dxfId="5790" priority="7110" operator="between">
      <formula>0.95</formula>
      <formula>1</formula>
    </cfRule>
    <cfRule type="cellIs" dxfId="5789" priority="7111" stopIfTrue="1" operator="between">
      <formula>0</formula>
      <formula>0.5</formula>
    </cfRule>
  </conditionalFormatting>
  <conditionalFormatting sqref="J19">
    <cfRule type="cellIs" dxfId="5788" priority="7102" operator="between">
      <formula>0.76</formula>
      <formula>0.95</formula>
    </cfRule>
    <cfRule type="cellIs" dxfId="5787" priority="7103" operator="between">
      <formula>0.51</formula>
      <formula>0.75</formula>
    </cfRule>
    <cfRule type="cellIs" dxfId="5786" priority="7104" operator="greaterThan">
      <formula>1</formula>
    </cfRule>
    <cfRule type="cellIs" dxfId="5785" priority="7105" operator="between">
      <formula>0.95</formula>
      <formula>1</formula>
    </cfRule>
    <cfRule type="cellIs" dxfId="5784" priority="7106" stopIfTrue="1" operator="between">
      <formula>0</formula>
      <formula>0.5</formula>
    </cfRule>
  </conditionalFormatting>
  <conditionalFormatting sqref="N15">
    <cfRule type="cellIs" dxfId="5783" priority="6127" operator="between">
      <formula>0.76</formula>
      <formula>0.95</formula>
    </cfRule>
    <cfRule type="cellIs" dxfId="5782" priority="6128" operator="between">
      <formula>0.51</formula>
      <formula>0.75</formula>
    </cfRule>
    <cfRule type="cellIs" dxfId="5781" priority="6129" operator="greaterThan">
      <formula>1</formula>
    </cfRule>
    <cfRule type="cellIs" dxfId="5780" priority="6130" operator="between">
      <formula>0.95</formula>
      <formula>1</formula>
    </cfRule>
    <cfRule type="cellIs" dxfId="5779" priority="6131" stopIfTrue="1" operator="between">
      <formula>0</formula>
      <formula>0.5</formula>
    </cfRule>
  </conditionalFormatting>
  <conditionalFormatting sqref="N16">
    <cfRule type="cellIs" dxfId="5778" priority="6122" operator="between">
      <formula>0.76</formula>
      <formula>0.95</formula>
    </cfRule>
    <cfRule type="cellIs" dxfId="5777" priority="6123" operator="between">
      <formula>0.51</formula>
      <formula>0.75</formula>
    </cfRule>
    <cfRule type="cellIs" dxfId="5776" priority="6124" operator="greaterThan">
      <formula>1</formula>
    </cfRule>
    <cfRule type="cellIs" dxfId="5775" priority="6125" operator="between">
      <formula>0.95</formula>
      <formula>1</formula>
    </cfRule>
    <cfRule type="cellIs" dxfId="5774" priority="6126" stopIfTrue="1" operator="between">
      <formula>0</formula>
      <formula>0.5</formula>
    </cfRule>
  </conditionalFormatting>
  <conditionalFormatting sqref="N17">
    <cfRule type="cellIs" dxfId="5773" priority="6117" operator="between">
      <formula>0.76</formula>
      <formula>0.95</formula>
    </cfRule>
    <cfRule type="cellIs" dxfId="5772" priority="6118" operator="between">
      <formula>0.51</formula>
      <formula>0.75</formula>
    </cfRule>
    <cfRule type="cellIs" dxfId="5771" priority="6119" operator="greaterThan">
      <formula>1</formula>
    </cfRule>
    <cfRule type="cellIs" dxfId="5770" priority="6120" operator="between">
      <formula>0.95</formula>
      <formula>1</formula>
    </cfRule>
    <cfRule type="cellIs" dxfId="5769" priority="6121" stopIfTrue="1" operator="between">
      <formula>0</formula>
      <formula>0.5</formula>
    </cfRule>
  </conditionalFormatting>
  <conditionalFormatting sqref="N18">
    <cfRule type="cellIs" dxfId="5768" priority="6107" operator="between">
      <formula>0.76</formula>
      <formula>0.95</formula>
    </cfRule>
    <cfRule type="cellIs" dxfId="5767" priority="6108" operator="between">
      <formula>0.51</formula>
      <formula>0.75</formula>
    </cfRule>
    <cfRule type="cellIs" dxfId="5766" priority="6109" operator="greaterThan">
      <formula>1</formula>
    </cfRule>
    <cfRule type="cellIs" dxfId="5765" priority="6110" operator="between">
      <formula>0.95</formula>
      <formula>1</formula>
    </cfRule>
    <cfRule type="cellIs" dxfId="5764" priority="6111" stopIfTrue="1" operator="between">
      <formula>0</formula>
      <formula>0.5</formula>
    </cfRule>
  </conditionalFormatting>
  <conditionalFormatting sqref="N19">
    <cfRule type="cellIs" dxfId="5763" priority="6102" operator="between">
      <formula>0.76</formula>
      <formula>0.95</formula>
    </cfRule>
    <cfRule type="cellIs" dxfId="5762" priority="6103" operator="between">
      <formula>0.51</formula>
      <formula>0.75</formula>
    </cfRule>
    <cfRule type="cellIs" dxfId="5761" priority="6104" operator="greaterThan">
      <formula>1</formula>
    </cfRule>
    <cfRule type="cellIs" dxfId="5760" priority="6105" operator="between">
      <formula>0.95</formula>
      <formula>1</formula>
    </cfRule>
    <cfRule type="cellIs" dxfId="5759" priority="6106" stopIfTrue="1" operator="between">
      <formula>0</formula>
      <formula>0.5</formula>
    </cfRule>
  </conditionalFormatting>
  <conditionalFormatting sqref="N20">
    <cfRule type="cellIs" dxfId="5758" priority="6097" operator="between">
      <formula>0.76</formula>
      <formula>0.95</formula>
    </cfRule>
    <cfRule type="cellIs" dxfId="5757" priority="6098" operator="between">
      <formula>0.51</formula>
      <formula>0.75</formula>
    </cfRule>
    <cfRule type="cellIs" dxfId="5756" priority="6099" operator="greaterThan">
      <formula>1</formula>
    </cfRule>
    <cfRule type="cellIs" dxfId="5755" priority="6100" operator="between">
      <formula>0.95</formula>
      <formula>1</formula>
    </cfRule>
    <cfRule type="cellIs" dxfId="5754" priority="6101" stopIfTrue="1" operator="between">
      <formula>0</formula>
      <formula>0.5</formula>
    </cfRule>
  </conditionalFormatting>
  <conditionalFormatting sqref="N21">
    <cfRule type="cellIs" dxfId="5753" priority="6092" operator="between">
      <formula>0.76</formula>
      <formula>0.95</formula>
    </cfRule>
    <cfRule type="cellIs" dxfId="5752" priority="6093" operator="between">
      <formula>0.51</formula>
      <formula>0.75</formula>
    </cfRule>
    <cfRule type="cellIs" dxfId="5751" priority="6094" operator="greaterThan">
      <formula>1</formula>
    </cfRule>
    <cfRule type="cellIs" dxfId="5750" priority="6095" operator="between">
      <formula>0.95</formula>
      <formula>1</formula>
    </cfRule>
    <cfRule type="cellIs" dxfId="5749" priority="6096" stopIfTrue="1" operator="between">
      <formula>0</formula>
      <formula>0.5</formula>
    </cfRule>
  </conditionalFormatting>
  <conditionalFormatting sqref="N22">
    <cfRule type="cellIs" dxfId="5748" priority="6087" operator="between">
      <formula>0.76</formula>
      <formula>0.95</formula>
    </cfRule>
    <cfRule type="cellIs" dxfId="5747" priority="6088" operator="between">
      <formula>0.51</formula>
      <formula>0.75</formula>
    </cfRule>
    <cfRule type="cellIs" dxfId="5746" priority="6089" operator="greaterThan">
      <formula>1</formula>
    </cfRule>
    <cfRule type="cellIs" dxfId="5745" priority="6090" operator="between">
      <formula>0.95</formula>
      <formula>1</formula>
    </cfRule>
    <cfRule type="cellIs" dxfId="5744" priority="6091" stopIfTrue="1" operator="between">
      <formula>0</formula>
      <formula>0.5</formula>
    </cfRule>
  </conditionalFormatting>
  <conditionalFormatting sqref="N23">
    <cfRule type="cellIs" dxfId="5743" priority="6082" operator="between">
      <formula>0.76</formula>
      <formula>0.95</formula>
    </cfRule>
    <cfRule type="cellIs" dxfId="5742" priority="6083" operator="between">
      <formula>0.51</formula>
      <formula>0.75</formula>
    </cfRule>
    <cfRule type="cellIs" dxfId="5741" priority="6084" operator="greaterThan">
      <formula>1</formula>
    </cfRule>
    <cfRule type="cellIs" dxfId="5740" priority="6085" operator="between">
      <formula>0.95</formula>
      <formula>1</formula>
    </cfRule>
    <cfRule type="cellIs" dxfId="5739" priority="6086" stopIfTrue="1" operator="between">
      <formula>0</formula>
      <formula>0.5</formula>
    </cfRule>
  </conditionalFormatting>
  <conditionalFormatting sqref="N24">
    <cfRule type="cellIs" dxfId="5738" priority="6077" operator="between">
      <formula>0.76</formula>
      <formula>0.95</formula>
    </cfRule>
    <cfRule type="cellIs" dxfId="5737" priority="6078" operator="between">
      <formula>0.51</formula>
      <formula>0.75</formula>
    </cfRule>
    <cfRule type="cellIs" dxfId="5736" priority="6079" operator="greaterThan">
      <formula>1</formula>
    </cfRule>
    <cfRule type="cellIs" dxfId="5735" priority="6080" operator="between">
      <formula>0.95</formula>
      <formula>1</formula>
    </cfRule>
    <cfRule type="cellIs" dxfId="5734" priority="6081" stopIfTrue="1" operator="between">
      <formula>0</formula>
      <formula>0.5</formula>
    </cfRule>
  </conditionalFormatting>
  <conditionalFormatting sqref="N25">
    <cfRule type="cellIs" dxfId="5733" priority="6072" operator="between">
      <formula>0.76</formula>
      <formula>0.95</formula>
    </cfRule>
    <cfRule type="cellIs" dxfId="5732" priority="6073" operator="between">
      <formula>0.51</formula>
      <formula>0.75</formula>
    </cfRule>
    <cfRule type="cellIs" dxfId="5731" priority="6074" operator="greaterThan">
      <formula>1</formula>
    </cfRule>
    <cfRule type="cellIs" dxfId="5730" priority="6075" operator="between">
      <formula>0.95</formula>
      <formula>1</formula>
    </cfRule>
    <cfRule type="cellIs" dxfId="5729" priority="6076" stopIfTrue="1" operator="between">
      <formula>0</formula>
      <formula>0.5</formula>
    </cfRule>
  </conditionalFormatting>
  <conditionalFormatting sqref="N27">
    <cfRule type="cellIs" dxfId="5728" priority="6067" operator="between">
      <formula>0.76</formula>
      <formula>0.95</formula>
    </cfRule>
    <cfRule type="cellIs" dxfId="5727" priority="6068" operator="between">
      <formula>0.51</formula>
      <formula>0.75</formula>
    </cfRule>
    <cfRule type="cellIs" dxfId="5726" priority="6069" operator="greaterThan">
      <formula>1</formula>
    </cfRule>
    <cfRule type="cellIs" dxfId="5725" priority="6070" operator="between">
      <formula>0.95</formula>
      <formula>1</formula>
    </cfRule>
    <cfRule type="cellIs" dxfId="5724" priority="6071" stopIfTrue="1" operator="between">
      <formula>0</formula>
      <formula>0.5</formula>
    </cfRule>
  </conditionalFormatting>
  <conditionalFormatting sqref="N28">
    <cfRule type="cellIs" dxfId="5723" priority="6062" operator="between">
      <formula>0.76</formula>
      <formula>0.95</formula>
    </cfRule>
    <cfRule type="cellIs" dxfId="5722" priority="6063" operator="between">
      <formula>0.51</formula>
      <formula>0.75</formula>
    </cfRule>
    <cfRule type="cellIs" dxfId="5721" priority="6064" operator="greaterThan">
      <formula>1</formula>
    </cfRule>
    <cfRule type="cellIs" dxfId="5720" priority="6065" operator="between">
      <formula>0.95</formula>
      <formula>1</formula>
    </cfRule>
    <cfRule type="cellIs" dxfId="5719" priority="6066" stopIfTrue="1" operator="between">
      <formula>0</formula>
      <formula>0.5</formula>
    </cfRule>
  </conditionalFormatting>
  <conditionalFormatting sqref="N29">
    <cfRule type="cellIs" dxfId="5718" priority="6057" operator="between">
      <formula>0.76</formula>
      <formula>0.95</formula>
    </cfRule>
    <cfRule type="cellIs" dxfId="5717" priority="6058" operator="between">
      <formula>0.51</formula>
      <formula>0.75</formula>
    </cfRule>
    <cfRule type="cellIs" dxfId="5716" priority="6059" operator="greaterThan">
      <formula>1</formula>
    </cfRule>
    <cfRule type="cellIs" dxfId="5715" priority="6060" operator="between">
      <formula>0.95</formula>
      <formula>1</formula>
    </cfRule>
    <cfRule type="cellIs" dxfId="5714" priority="6061" stopIfTrue="1" operator="between">
      <formula>0</formula>
      <formula>0.5</formula>
    </cfRule>
  </conditionalFormatting>
  <conditionalFormatting sqref="N30">
    <cfRule type="cellIs" dxfId="5713" priority="6052" operator="between">
      <formula>0.76</formula>
      <formula>0.95</formula>
    </cfRule>
    <cfRule type="cellIs" dxfId="5712" priority="6053" operator="between">
      <formula>0.51</formula>
      <formula>0.75</formula>
    </cfRule>
    <cfRule type="cellIs" dxfId="5711" priority="6054" operator="greaterThan">
      <formula>1</formula>
    </cfRule>
    <cfRule type="cellIs" dxfId="5710" priority="6055" operator="between">
      <formula>0.95</formula>
      <formula>1</formula>
    </cfRule>
    <cfRule type="cellIs" dxfId="5709" priority="6056" stopIfTrue="1" operator="between">
      <formula>0</formula>
      <formula>0.5</formula>
    </cfRule>
  </conditionalFormatting>
  <conditionalFormatting sqref="N31">
    <cfRule type="cellIs" dxfId="5708" priority="6047" operator="between">
      <formula>0.76</formula>
      <formula>0.95</formula>
    </cfRule>
    <cfRule type="cellIs" dxfId="5707" priority="6048" operator="between">
      <formula>0.51</formula>
      <formula>0.75</formula>
    </cfRule>
    <cfRule type="cellIs" dxfId="5706" priority="6049" operator="greaterThan">
      <formula>1</formula>
    </cfRule>
    <cfRule type="cellIs" dxfId="5705" priority="6050" operator="between">
      <formula>0.95</formula>
      <formula>1</formula>
    </cfRule>
    <cfRule type="cellIs" dxfId="5704" priority="6051" stopIfTrue="1" operator="between">
      <formula>0</formula>
      <formula>0.5</formula>
    </cfRule>
  </conditionalFormatting>
  <conditionalFormatting sqref="N32">
    <cfRule type="cellIs" dxfId="5703" priority="6042" operator="between">
      <formula>0.76</formula>
      <formula>0.95</formula>
    </cfRule>
    <cfRule type="cellIs" dxfId="5702" priority="6043" operator="between">
      <formula>0.51</formula>
      <formula>0.75</formula>
    </cfRule>
    <cfRule type="cellIs" dxfId="5701" priority="6044" operator="greaterThan">
      <formula>1</formula>
    </cfRule>
    <cfRule type="cellIs" dxfId="5700" priority="6045" operator="between">
      <formula>0.95</formula>
      <formula>1</formula>
    </cfRule>
    <cfRule type="cellIs" dxfId="5699" priority="6046" stopIfTrue="1" operator="between">
      <formula>0</formula>
      <formula>0.5</formula>
    </cfRule>
  </conditionalFormatting>
  <conditionalFormatting sqref="N33">
    <cfRule type="cellIs" dxfId="5698" priority="6037" operator="between">
      <formula>0.76</formula>
      <formula>0.95</formula>
    </cfRule>
    <cfRule type="cellIs" dxfId="5697" priority="6038" operator="between">
      <formula>0.51</formula>
      <formula>0.75</formula>
    </cfRule>
    <cfRule type="cellIs" dxfId="5696" priority="6039" operator="greaterThan">
      <formula>1</formula>
    </cfRule>
    <cfRule type="cellIs" dxfId="5695" priority="6040" operator="between">
      <formula>0.95</formula>
      <formula>1</formula>
    </cfRule>
    <cfRule type="cellIs" dxfId="5694" priority="6041" stopIfTrue="1" operator="between">
      <formula>0</formula>
      <formula>0.5</formula>
    </cfRule>
  </conditionalFormatting>
  <conditionalFormatting sqref="N34">
    <cfRule type="cellIs" dxfId="5693" priority="6032" operator="between">
      <formula>0.76</formula>
      <formula>0.95</formula>
    </cfRule>
    <cfRule type="cellIs" dxfId="5692" priority="6033" operator="between">
      <formula>0.51</formula>
      <formula>0.75</formula>
    </cfRule>
    <cfRule type="cellIs" dxfId="5691" priority="6034" operator="greaterThan">
      <formula>1</formula>
    </cfRule>
    <cfRule type="cellIs" dxfId="5690" priority="6035" operator="between">
      <formula>0.95</formula>
      <formula>1</formula>
    </cfRule>
    <cfRule type="cellIs" dxfId="5689" priority="6036" stopIfTrue="1" operator="between">
      <formula>0</formula>
      <formula>0.5</formula>
    </cfRule>
  </conditionalFormatting>
  <conditionalFormatting sqref="N35">
    <cfRule type="cellIs" dxfId="5688" priority="6022" operator="between">
      <formula>0.76</formula>
      <formula>0.95</formula>
    </cfRule>
    <cfRule type="cellIs" dxfId="5687" priority="6023" operator="between">
      <formula>0.51</formula>
      <formula>0.75</formula>
    </cfRule>
    <cfRule type="cellIs" dxfId="5686" priority="6024" operator="greaterThan">
      <formula>1</formula>
    </cfRule>
    <cfRule type="cellIs" dxfId="5685" priority="6025" operator="between">
      <formula>0.95</formula>
      <formula>1</formula>
    </cfRule>
    <cfRule type="cellIs" dxfId="5684" priority="6026" stopIfTrue="1" operator="between">
      <formula>0</formula>
      <formula>0.5</formula>
    </cfRule>
  </conditionalFormatting>
  <conditionalFormatting sqref="N36">
    <cfRule type="cellIs" dxfId="5683" priority="6017" operator="between">
      <formula>0.76</formula>
      <formula>0.95</formula>
    </cfRule>
    <cfRule type="cellIs" dxfId="5682" priority="6018" operator="between">
      <formula>0.51</formula>
      <formula>0.75</formula>
    </cfRule>
    <cfRule type="cellIs" dxfId="5681" priority="6019" operator="greaterThan">
      <formula>1</formula>
    </cfRule>
    <cfRule type="cellIs" dxfId="5680" priority="6020" operator="between">
      <formula>0.95</formula>
      <formula>1</formula>
    </cfRule>
    <cfRule type="cellIs" dxfId="5679" priority="6021" stopIfTrue="1" operator="between">
      <formula>0</formula>
      <formula>0.5</formula>
    </cfRule>
  </conditionalFormatting>
  <conditionalFormatting sqref="N37">
    <cfRule type="cellIs" dxfId="5678" priority="6012" operator="between">
      <formula>0.76</formula>
      <formula>0.95</formula>
    </cfRule>
    <cfRule type="cellIs" dxfId="5677" priority="6013" operator="between">
      <formula>0.51</formula>
      <formula>0.75</formula>
    </cfRule>
    <cfRule type="cellIs" dxfId="5676" priority="6014" operator="greaterThan">
      <formula>1</formula>
    </cfRule>
    <cfRule type="cellIs" dxfId="5675" priority="6015" operator="between">
      <formula>0.95</formula>
      <formula>1</formula>
    </cfRule>
    <cfRule type="cellIs" dxfId="5674" priority="6016" stopIfTrue="1" operator="between">
      <formula>0</formula>
      <formula>0.5</formula>
    </cfRule>
  </conditionalFormatting>
  <conditionalFormatting sqref="N38">
    <cfRule type="cellIs" dxfId="5673" priority="6002" operator="between">
      <formula>0.76</formula>
      <formula>0.95</formula>
    </cfRule>
    <cfRule type="cellIs" dxfId="5672" priority="6003" operator="between">
      <formula>0.51</formula>
      <formula>0.75</formula>
    </cfRule>
    <cfRule type="cellIs" dxfId="5671" priority="6004" operator="greaterThan">
      <formula>1</formula>
    </cfRule>
    <cfRule type="cellIs" dxfId="5670" priority="6005" operator="between">
      <formula>0.95</formula>
      <formula>1</formula>
    </cfRule>
    <cfRule type="cellIs" dxfId="5669" priority="6006" stopIfTrue="1" operator="between">
      <formula>0</formula>
      <formula>0.5</formula>
    </cfRule>
  </conditionalFormatting>
  <conditionalFormatting sqref="N39">
    <cfRule type="cellIs" dxfId="5668" priority="5997" operator="between">
      <formula>0.76</formula>
      <formula>0.95</formula>
    </cfRule>
    <cfRule type="cellIs" dxfId="5667" priority="5998" operator="between">
      <formula>0.51</formula>
      <formula>0.75</formula>
    </cfRule>
    <cfRule type="cellIs" dxfId="5666" priority="5999" operator="greaterThan">
      <formula>1</formula>
    </cfRule>
    <cfRule type="cellIs" dxfId="5665" priority="6000" operator="between">
      <formula>0.95</formula>
      <formula>1</formula>
    </cfRule>
    <cfRule type="cellIs" dxfId="5664" priority="6001" stopIfTrue="1" operator="between">
      <formula>0</formula>
      <formula>0.5</formula>
    </cfRule>
  </conditionalFormatting>
  <conditionalFormatting sqref="N40">
    <cfRule type="cellIs" dxfId="5663" priority="5992" operator="between">
      <formula>0.76</formula>
      <formula>0.95</formula>
    </cfRule>
    <cfRule type="cellIs" dxfId="5662" priority="5993" operator="between">
      <formula>0.51</formula>
      <formula>0.75</formula>
    </cfRule>
    <cfRule type="cellIs" dxfId="5661" priority="5994" operator="greaterThan">
      <formula>1</formula>
    </cfRule>
    <cfRule type="cellIs" dxfId="5660" priority="5995" operator="between">
      <formula>0.95</formula>
      <formula>1</formula>
    </cfRule>
    <cfRule type="cellIs" dxfId="5659" priority="5996" stopIfTrue="1" operator="between">
      <formula>0</formula>
      <formula>0.5</formula>
    </cfRule>
  </conditionalFormatting>
  <conditionalFormatting sqref="N41">
    <cfRule type="cellIs" dxfId="5658" priority="5987" operator="between">
      <formula>0.76</formula>
      <formula>0.95</formula>
    </cfRule>
    <cfRule type="cellIs" dxfId="5657" priority="5988" operator="between">
      <formula>0.51</formula>
      <formula>0.75</formula>
    </cfRule>
    <cfRule type="cellIs" dxfId="5656" priority="5989" operator="greaterThan">
      <formula>1</formula>
    </cfRule>
    <cfRule type="cellIs" dxfId="5655" priority="5990" operator="between">
      <formula>0.95</formula>
      <formula>1</formula>
    </cfRule>
    <cfRule type="cellIs" dxfId="5654" priority="5991" stopIfTrue="1" operator="between">
      <formula>0</formula>
      <formula>0.5</formula>
    </cfRule>
  </conditionalFormatting>
  <conditionalFormatting sqref="N42">
    <cfRule type="cellIs" dxfId="5653" priority="5982" operator="between">
      <formula>0.76</formula>
      <formula>0.95</formula>
    </cfRule>
    <cfRule type="cellIs" dxfId="5652" priority="5983" operator="between">
      <formula>0.51</formula>
      <formula>0.75</formula>
    </cfRule>
    <cfRule type="cellIs" dxfId="5651" priority="5984" operator="greaterThan">
      <formula>1</formula>
    </cfRule>
    <cfRule type="cellIs" dxfId="5650" priority="5985" operator="between">
      <formula>0.95</formula>
      <formula>1</formula>
    </cfRule>
    <cfRule type="cellIs" dxfId="5649" priority="5986" stopIfTrue="1" operator="between">
      <formula>0</formula>
      <formula>0.5</formula>
    </cfRule>
  </conditionalFormatting>
  <conditionalFormatting sqref="N43">
    <cfRule type="cellIs" dxfId="5648" priority="5977" operator="between">
      <formula>0.76</formula>
      <formula>0.95</formula>
    </cfRule>
    <cfRule type="cellIs" dxfId="5647" priority="5978" operator="between">
      <formula>0.51</formula>
      <formula>0.75</formula>
    </cfRule>
    <cfRule type="cellIs" dxfId="5646" priority="5979" operator="greaterThan">
      <formula>1</formula>
    </cfRule>
    <cfRule type="cellIs" dxfId="5645" priority="5980" operator="between">
      <formula>0.95</formula>
      <formula>1</formula>
    </cfRule>
    <cfRule type="cellIs" dxfId="5644" priority="5981" stopIfTrue="1" operator="between">
      <formula>0</formula>
      <formula>0.5</formula>
    </cfRule>
  </conditionalFormatting>
  <conditionalFormatting sqref="N44">
    <cfRule type="cellIs" dxfId="5643" priority="5972" operator="between">
      <formula>0.76</formula>
      <formula>0.95</formula>
    </cfRule>
    <cfRule type="cellIs" dxfId="5642" priority="5973" operator="between">
      <formula>0.51</formula>
      <formula>0.75</formula>
    </cfRule>
    <cfRule type="cellIs" dxfId="5641" priority="5974" operator="greaterThan">
      <formula>1</formula>
    </cfRule>
    <cfRule type="cellIs" dxfId="5640" priority="5975" operator="between">
      <formula>0.95</formula>
      <formula>1</formula>
    </cfRule>
    <cfRule type="cellIs" dxfId="5639" priority="5976" stopIfTrue="1" operator="between">
      <formula>0</formula>
      <formula>0.5</formula>
    </cfRule>
  </conditionalFormatting>
  <conditionalFormatting sqref="N45">
    <cfRule type="cellIs" dxfId="5638" priority="5967" operator="between">
      <formula>0.76</formula>
      <formula>0.95</formula>
    </cfRule>
    <cfRule type="cellIs" dxfId="5637" priority="5968" operator="between">
      <formula>0.51</formula>
      <formula>0.75</formula>
    </cfRule>
    <cfRule type="cellIs" dxfId="5636" priority="5969" operator="greaterThan">
      <formula>1</formula>
    </cfRule>
    <cfRule type="cellIs" dxfId="5635" priority="5970" operator="between">
      <formula>0.95</formula>
      <formula>1</formula>
    </cfRule>
    <cfRule type="cellIs" dxfId="5634" priority="5971" stopIfTrue="1" operator="between">
      <formula>0</formula>
      <formula>0.5</formula>
    </cfRule>
  </conditionalFormatting>
  <conditionalFormatting sqref="N46">
    <cfRule type="cellIs" dxfId="5633" priority="5962" operator="between">
      <formula>0.76</formula>
      <formula>0.95</formula>
    </cfRule>
    <cfRule type="cellIs" dxfId="5632" priority="5963" operator="between">
      <formula>0.51</formula>
      <formula>0.75</formula>
    </cfRule>
    <cfRule type="cellIs" dxfId="5631" priority="5964" operator="greaterThan">
      <formula>1</formula>
    </cfRule>
    <cfRule type="cellIs" dxfId="5630" priority="5965" operator="between">
      <formula>0.95</formula>
      <formula>1</formula>
    </cfRule>
    <cfRule type="cellIs" dxfId="5629" priority="5966" stopIfTrue="1" operator="between">
      <formula>0</formula>
      <formula>0.5</formula>
    </cfRule>
  </conditionalFormatting>
  <conditionalFormatting sqref="N47">
    <cfRule type="cellIs" dxfId="5628" priority="5957" operator="between">
      <formula>0.76</formula>
      <formula>0.95</formula>
    </cfRule>
    <cfRule type="cellIs" dxfId="5627" priority="5958" operator="between">
      <formula>0.51</formula>
      <formula>0.75</formula>
    </cfRule>
    <cfRule type="cellIs" dxfId="5626" priority="5959" operator="greaterThan">
      <formula>1</formula>
    </cfRule>
    <cfRule type="cellIs" dxfId="5625" priority="5960" operator="between">
      <formula>0.95</formula>
      <formula>1</formula>
    </cfRule>
    <cfRule type="cellIs" dxfId="5624" priority="5961" stopIfTrue="1" operator="between">
      <formula>0</formula>
      <formula>0.5</formula>
    </cfRule>
  </conditionalFormatting>
  <conditionalFormatting sqref="N48">
    <cfRule type="cellIs" dxfId="5623" priority="5952" operator="between">
      <formula>0.76</formula>
      <formula>0.95</formula>
    </cfRule>
    <cfRule type="cellIs" dxfId="5622" priority="5953" operator="between">
      <formula>0.51</formula>
      <formula>0.75</formula>
    </cfRule>
    <cfRule type="cellIs" dxfId="5621" priority="5954" operator="greaterThan">
      <formula>1</formula>
    </cfRule>
    <cfRule type="cellIs" dxfId="5620" priority="5955" operator="between">
      <formula>0.95</formula>
      <formula>1</formula>
    </cfRule>
    <cfRule type="cellIs" dxfId="5619" priority="5956" stopIfTrue="1" operator="between">
      <formula>0</formula>
      <formula>0.5</formula>
    </cfRule>
  </conditionalFormatting>
  <conditionalFormatting sqref="N49">
    <cfRule type="cellIs" dxfId="5618" priority="5947" operator="between">
      <formula>0.76</formula>
      <formula>0.95</formula>
    </cfRule>
    <cfRule type="cellIs" dxfId="5617" priority="5948" operator="between">
      <formula>0.51</formula>
      <formula>0.75</formula>
    </cfRule>
    <cfRule type="cellIs" dxfId="5616" priority="5949" operator="greaterThan">
      <formula>1</formula>
    </cfRule>
    <cfRule type="cellIs" dxfId="5615" priority="5950" operator="between">
      <formula>0.95</formula>
      <formula>1</formula>
    </cfRule>
    <cfRule type="cellIs" dxfId="5614" priority="5951" stopIfTrue="1" operator="between">
      <formula>0</formula>
      <formula>0.5</formula>
    </cfRule>
  </conditionalFormatting>
  <conditionalFormatting sqref="N50">
    <cfRule type="cellIs" dxfId="5613" priority="5942" operator="between">
      <formula>0.76</formula>
      <formula>0.95</formula>
    </cfRule>
    <cfRule type="cellIs" dxfId="5612" priority="5943" operator="between">
      <formula>0.51</formula>
      <formula>0.75</formula>
    </cfRule>
    <cfRule type="cellIs" dxfId="5611" priority="5944" operator="greaterThan">
      <formula>1</formula>
    </cfRule>
    <cfRule type="cellIs" dxfId="5610" priority="5945" operator="between">
      <formula>0.95</formula>
      <formula>1</formula>
    </cfRule>
    <cfRule type="cellIs" dxfId="5609" priority="5946" stopIfTrue="1" operator="between">
      <formula>0</formula>
      <formula>0.5</formula>
    </cfRule>
  </conditionalFormatting>
  <conditionalFormatting sqref="N52">
    <cfRule type="cellIs" dxfId="5608" priority="5937" operator="between">
      <formula>0.76</formula>
      <formula>0.95</formula>
    </cfRule>
    <cfRule type="cellIs" dxfId="5607" priority="5938" operator="between">
      <formula>0.51</formula>
      <formula>0.75</formula>
    </cfRule>
    <cfRule type="cellIs" dxfId="5606" priority="5939" operator="greaterThan">
      <formula>1</formula>
    </cfRule>
    <cfRule type="cellIs" dxfId="5605" priority="5940" operator="between">
      <formula>0.95</formula>
      <formula>1</formula>
    </cfRule>
    <cfRule type="cellIs" dxfId="5604" priority="5941" stopIfTrue="1" operator="between">
      <formula>0</formula>
      <formula>0.5</formula>
    </cfRule>
  </conditionalFormatting>
  <conditionalFormatting sqref="N51">
    <cfRule type="cellIs" dxfId="5603" priority="5932" operator="between">
      <formula>0.76</formula>
      <formula>0.95</formula>
    </cfRule>
    <cfRule type="cellIs" dxfId="5602" priority="5933" operator="between">
      <formula>0.51</formula>
      <formula>0.75</formula>
    </cfRule>
    <cfRule type="cellIs" dxfId="5601" priority="5934" operator="greaterThan">
      <formula>1</formula>
    </cfRule>
    <cfRule type="cellIs" dxfId="5600" priority="5935" operator="between">
      <formula>0.95</formula>
      <formula>1</formula>
    </cfRule>
    <cfRule type="cellIs" dxfId="5599" priority="5936" stopIfTrue="1" operator="between">
      <formula>0</formula>
      <formula>0.5</formula>
    </cfRule>
  </conditionalFormatting>
  <conditionalFormatting sqref="N53">
    <cfRule type="cellIs" dxfId="5598" priority="5927" operator="between">
      <formula>0.76</formula>
      <formula>0.95</formula>
    </cfRule>
    <cfRule type="cellIs" dxfId="5597" priority="5928" operator="between">
      <formula>0.51</formula>
      <formula>0.75</formula>
    </cfRule>
    <cfRule type="cellIs" dxfId="5596" priority="5929" operator="greaterThan">
      <formula>1</formula>
    </cfRule>
    <cfRule type="cellIs" dxfId="5595" priority="5930" operator="between">
      <formula>0.95</formula>
      <formula>1</formula>
    </cfRule>
    <cfRule type="cellIs" dxfId="5594" priority="5931" stopIfTrue="1" operator="between">
      <formula>0</formula>
      <formula>0.5</formula>
    </cfRule>
  </conditionalFormatting>
  <conditionalFormatting sqref="N54">
    <cfRule type="cellIs" dxfId="5593" priority="5922" operator="between">
      <formula>0.76</formula>
      <formula>0.95</formula>
    </cfRule>
    <cfRule type="cellIs" dxfId="5592" priority="5923" operator="between">
      <formula>0.51</formula>
      <formula>0.75</formula>
    </cfRule>
    <cfRule type="cellIs" dxfId="5591" priority="5924" operator="greaterThan">
      <formula>1</formula>
    </cfRule>
    <cfRule type="cellIs" dxfId="5590" priority="5925" operator="between">
      <formula>0.95</formula>
      <formula>1</formula>
    </cfRule>
    <cfRule type="cellIs" dxfId="5589" priority="5926" stopIfTrue="1" operator="between">
      <formula>0</formula>
      <formula>0.5</formula>
    </cfRule>
  </conditionalFormatting>
  <conditionalFormatting sqref="N55">
    <cfRule type="cellIs" dxfId="5588" priority="5917" operator="between">
      <formula>0.76</formula>
      <formula>0.95</formula>
    </cfRule>
    <cfRule type="cellIs" dxfId="5587" priority="5918" operator="between">
      <formula>0.51</formula>
      <formula>0.75</formula>
    </cfRule>
    <cfRule type="cellIs" dxfId="5586" priority="5919" operator="greaterThan">
      <formula>1</formula>
    </cfRule>
    <cfRule type="cellIs" dxfId="5585" priority="5920" operator="between">
      <formula>0.95</formula>
      <formula>1</formula>
    </cfRule>
    <cfRule type="cellIs" dxfId="5584" priority="5921" stopIfTrue="1" operator="between">
      <formula>0</formula>
      <formula>0.5</formula>
    </cfRule>
  </conditionalFormatting>
  <conditionalFormatting sqref="N56">
    <cfRule type="cellIs" dxfId="5583" priority="5912" operator="between">
      <formula>0.76</formula>
      <formula>0.95</formula>
    </cfRule>
    <cfRule type="cellIs" dxfId="5582" priority="5913" operator="between">
      <formula>0.51</formula>
      <formula>0.75</formula>
    </cfRule>
    <cfRule type="cellIs" dxfId="5581" priority="5914" operator="greaterThan">
      <formula>1</formula>
    </cfRule>
    <cfRule type="cellIs" dxfId="5580" priority="5915" operator="between">
      <formula>0.95</formula>
      <formula>1</formula>
    </cfRule>
    <cfRule type="cellIs" dxfId="5579" priority="5916" stopIfTrue="1" operator="between">
      <formula>0</formula>
      <formula>0.5</formula>
    </cfRule>
  </conditionalFormatting>
  <conditionalFormatting sqref="N57">
    <cfRule type="cellIs" dxfId="5578" priority="5907" operator="between">
      <formula>0.76</formula>
      <formula>0.95</formula>
    </cfRule>
    <cfRule type="cellIs" dxfId="5577" priority="5908" operator="between">
      <formula>0.51</formula>
      <formula>0.75</formula>
    </cfRule>
    <cfRule type="cellIs" dxfId="5576" priority="5909" operator="greaterThan">
      <formula>1</formula>
    </cfRule>
    <cfRule type="cellIs" dxfId="5575" priority="5910" operator="between">
      <formula>0.95</formula>
      <formula>1</formula>
    </cfRule>
    <cfRule type="cellIs" dxfId="5574" priority="5911" stopIfTrue="1" operator="between">
      <formula>0</formula>
      <formula>0.5</formula>
    </cfRule>
  </conditionalFormatting>
  <conditionalFormatting sqref="N59">
    <cfRule type="cellIs" dxfId="5573" priority="5897" operator="between">
      <formula>0.76</formula>
      <formula>0.95</formula>
    </cfRule>
    <cfRule type="cellIs" dxfId="5572" priority="5898" operator="between">
      <formula>0.51</formula>
      <formula>0.75</formula>
    </cfRule>
    <cfRule type="cellIs" dxfId="5571" priority="5899" operator="greaterThan">
      <formula>1</formula>
    </cfRule>
    <cfRule type="cellIs" dxfId="5570" priority="5900" operator="between">
      <formula>0.95</formula>
      <formula>1</formula>
    </cfRule>
    <cfRule type="cellIs" dxfId="5569" priority="5901" stopIfTrue="1" operator="between">
      <formula>0</formula>
      <formula>0.5</formula>
    </cfRule>
  </conditionalFormatting>
  <conditionalFormatting sqref="N58">
    <cfRule type="cellIs" dxfId="5568" priority="5892" operator="between">
      <formula>0.76</formula>
      <formula>0.95</formula>
    </cfRule>
    <cfRule type="cellIs" dxfId="5567" priority="5893" operator="between">
      <formula>0.51</formula>
      <formula>0.75</formula>
    </cfRule>
    <cfRule type="cellIs" dxfId="5566" priority="5894" operator="greaterThan">
      <formula>1</formula>
    </cfRule>
    <cfRule type="cellIs" dxfId="5565" priority="5895" operator="between">
      <formula>0.95</formula>
      <formula>1</formula>
    </cfRule>
    <cfRule type="cellIs" dxfId="5564" priority="5896" stopIfTrue="1" operator="between">
      <formula>0</formula>
      <formula>0.5</formula>
    </cfRule>
  </conditionalFormatting>
  <conditionalFormatting sqref="N60">
    <cfRule type="cellIs" dxfId="5563" priority="5887" operator="between">
      <formula>0.76</formula>
      <formula>0.95</formula>
    </cfRule>
    <cfRule type="cellIs" dxfId="5562" priority="5888" operator="between">
      <formula>0.51</formula>
      <formula>0.75</formula>
    </cfRule>
    <cfRule type="cellIs" dxfId="5561" priority="5889" operator="greaterThan">
      <formula>1</formula>
    </cfRule>
    <cfRule type="cellIs" dxfId="5560" priority="5890" operator="between">
      <formula>0.95</formula>
      <formula>1</formula>
    </cfRule>
    <cfRule type="cellIs" dxfId="5559" priority="5891" stopIfTrue="1" operator="between">
      <formula>0</formula>
      <formula>0.5</formula>
    </cfRule>
  </conditionalFormatting>
  <conditionalFormatting sqref="N61">
    <cfRule type="cellIs" dxfId="5558" priority="5882" operator="between">
      <formula>0.76</formula>
      <formula>0.95</formula>
    </cfRule>
    <cfRule type="cellIs" dxfId="5557" priority="5883" operator="between">
      <formula>0.51</formula>
      <formula>0.75</formula>
    </cfRule>
    <cfRule type="cellIs" dxfId="5556" priority="5884" operator="greaterThan">
      <formula>1</formula>
    </cfRule>
    <cfRule type="cellIs" dxfId="5555" priority="5885" operator="between">
      <formula>0.95</formula>
      <formula>1</formula>
    </cfRule>
    <cfRule type="cellIs" dxfId="5554" priority="5886" stopIfTrue="1" operator="between">
      <formula>0</formula>
      <formula>0.5</formula>
    </cfRule>
  </conditionalFormatting>
  <conditionalFormatting sqref="N63">
    <cfRule type="cellIs" dxfId="5553" priority="5877" operator="between">
      <formula>0.76</formula>
      <formula>0.95</formula>
    </cfRule>
    <cfRule type="cellIs" dxfId="5552" priority="5878" operator="between">
      <formula>0.51</formula>
      <formula>0.75</formula>
    </cfRule>
    <cfRule type="cellIs" dxfId="5551" priority="5879" operator="greaterThan">
      <formula>1</formula>
    </cfRule>
    <cfRule type="cellIs" dxfId="5550" priority="5880" operator="between">
      <formula>0.95</formula>
      <formula>1</formula>
    </cfRule>
    <cfRule type="cellIs" dxfId="5549" priority="5881" stopIfTrue="1" operator="between">
      <formula>0</formula>
      <formula>0.5</formula>
    </cfRule>
  </conditionalFormatting>
  <conditionalFormatting sqref="N64">
    <cfRule type="cellIs" dxfId="5548" priority="5872" operator="between">
      <formula>0.76</formula>
      <formula>0.95</formula>
    </cfRule>
    <cfRule type="cellIs" dxfId="5547" priority="5873" operator="between">
      <formula>0.51</formula>
      <formula>0.75</formula>
    </cfRule>
    <cfRule type="cellIs" dxfId="5546" priority="5874" operator="greaterThan">
      <formula>1</formula>
    </cfRule>
    <cfRule type="cellIs" dxfId="5545" priority="5875" operator="between">
      <formula>0.95</formula>
      <formula>1</formula>
    </cfRule>
    <cfRule type="cellIs" dxfId="5544" priority="5876" stopIfTrue="1" operator="between">
      <formula>0</formula>
      <formula>0.5</formula>
    </cfRule>
  </conditionalFormatting>
  <conditionalFormatting sqref="N65">
    <cfRule type="cellIs" dxfId="5543" priority="5867" operator="between">
      <formula>0.76</formula>
      <formula>0.95</formula>
    </cfRule>
    <cfRule type="cellIs" dxfId="5542" priority="5868" operator="between">
      <formula>0.51</formula>
      <formula>0.75</formula>
    </cfRule>
    <cfRule type="cellIs" dxfId="5541" priority="5869" operator="greaterThan">
      <formula>1</formula>
    </cfRule>
    <cfRule type="cellIs" dxfId="5540" priority="5870" operator="between">
      <formula>0.95</formula>
      <formula>1</formula>
    </cfRule>
    <cfRule type="cellIs" dxfId="5539" priority="5871" stopIfTrue="1" operator="between">
      <formula>0</formula>
      <formula>0.5</formula>
    </cfRule>
  </conditionalFormatting>
  <conditionalFormatting sqref="N66">
    <cfRule type="cellIs" dxfId="5538" priority="5862" operator="between">
      <formula>0.76</formula>
      <formula>0.95</formula>
    </cfRule>
    <cfRule type="cellIs" dxfId="5537" priority="5863" operator="between">
      <formula>0.51</formula>
      <formula>0.75</formula>
    </cfRule>
    <cfRule type="cellIs" dxfId="5536" priority="5864" operator="greaterThan">
      <formula>1</formula>
    </cfRule>
    <cfRule type="cellIs" dxfId="5535" priority="5865" operator="between">
      <formula>0.95</formula>
      <formula>1</formula>
    </cfRule>
    <cfRule type="cellIs" dxfId="5534" priority="5866" stopIfTrue="1" operator="between">
      <formula>0</formula>
      <formula>0.5</formula>
    </cfRule>
  </conditionalFormatting>
  <conditionalFormatting sqref="N67">
    <cfRule type="cellIs" dxfId="5533" priority="5857" operator="between">
      <formula>0.76</formula>
      <formula>0.95</formula>
    </cfRule>
    <cfRule type="cellIs" dxfId="5532" priority="5858" operator="between">
      <formula>0.51</formula>
      <formula>0.75</formula>
    </cfRule>
    <cfRule type="cellIs" dxfId="5531" priority="5859" operator="greaterThan">
      <formula>1</formula>
    </cfRule>
    <cfRule type="cellIs" dxfId="5530" priority="5860" operator="between">
      <formula>0.95</formula>
      <formula>1</formula>
    </cfRule>
    <cfRule type="cellIs" dxfId="5529" priority="5861" stopIfTrue="1" operator="between">
      <formula>0</formula>
      <formula>0.5</formula>
    </cfRule>
  </conditionalFormatting>
  <conditionalFormatting sqref="N68">
    <cfRule type="cellIs" dxfId="5528" priority="5852" operator="between">
      <formula>0.76</formula>
      <formula>0.95</formula>
    </cfRule>
    <cfRule type="cellIs" dxfId="5527" priority="5853" operator="between">
      <formula>0.51</formula>
      <formula>0.75</formula>
    </cfRule>
    <cfRule type="cellIs" dxfId="5526" priority="5854" operator="greaterThan">
      <formula>1</formula>
    </cfRule>
    <cfRule type="cellIs" dxfId="5525" priority="5855" operator="between">
      <formula>0.95</formula>
      <formula>1</formula>
    </cfRule>
    <cfRule type="cellIs" dxfId="5524" priority="5856" stopIfTrue="1" operator="between">
      <formula>0</formula>
      <formula>0.5</formula>
    </cfRule>
  </conditionalFormatting>
  <conditionalFormatting sqref="N69">
    <cfRule type="cellIs" dxfId="5523" priority="5847" operator="between">
      <formula>0.76</formula>
      <formula>0.95</formula>
    </cfRule>
    <cfRule type="cellIs" dxfId="5522" priority="5848" operator="between">
      <formula>0.51</formula>
      <formula>0.75</formula>
    </cfRule>
    <cfRule type="cellIs" dxfId="5521" priority="5849" operator="greaterThan">
      <formula>1</formula>
    </cfRule>
    <cfRule type="cellIs" dxfId="5520" priority="5850" operator="between">
      <formula>0.95</formula>
      <formula>1</formula>
    </cfRule>
    <cfRule type="cellIs" dxfId="5519" priority="5851" stopIfTrue="1" operator="between">
      <formula>0</formula>
      <formula>0.5</formula>
    </cfRule>
  </conditionalFormatting>
  <conditionalFormatting sqref="N70">
    <cfRule type="cellIs" dxfId="5518" priority="5842" operator="between">
      <formula>0.76</formula>
      <formula>0.95</formula>
    </cfRule>
    <cfRule type="cellIs" dxfId="5517" priority="5843" operator="between">
      <formula>0.51</formula>
      <formula>0.75</formula>
    </cfRule>
    <cfRule type="cellIs" dxfId="5516" priority="5844" operator="greaterThan">
      <formula>1</formula>
    </cfRule>
    <cfRule type="cellIs" dxfId="5515" priority="5845" operator="between">
      <formula>0.95</formula>
      <formula>1</formula>
    </cfRule>
    <cfRule type="cellIs" dxfId="5514" priority="5846" stopIfTrue="1" operator="between">
      <formula>0</formula>
      <formula>0.5</formula>
    </cfRule>
  </conditionalFormatting>
  <conditionalFormatting sqref="N71">
    <cfRule type="cellIs" dxfId="5513" priority="5837" operator="between">
      <formula>0.76</formula>
      <formula>0.95</formula>
    </cfRule>
    <cfRule type="cellIs" dxfId="5512" priority="5838" operator="between">
      <formula>0.51</formula>
      <formula>0.75</formula>
    </cfRule>
    <cfRule type="cellIs" dxfId="5511" priority="5839" operator="greaterThan">
      <formula>1</formula>
    </cfRule>
    <cfRule type="cellIs" dxfId="5510" priority="5840" operator="between">
      <formula>0.95</formula>
      <formula>1</formula>
    </cfRule>
    <cfRule type="cellIs" dxfId="5509" priority="5841" stopIfTrue="1" operator="between">
      <formula>0</formula>
      <formula>0.5</formula>
    </cfRule>
  </conditionalFormatting>
  <conditionalFormatting sqref="N72">
    <cfRule type="cellIs" dxfId="5508" priority="5832" operator="between">
      <formula>0.76</formula>
      <formula>0.95</formula>
    </cfRule>
    <cfRule type="cellIs" dxfId="5507" priority="5833" operator="between">
      <formula>0.51</formula>
      <formula>0.75</formula>
    </cfRule>
    <cfRule type="cellIs" dxfId="5506" priority="5834" operator="greaterThan">
      <formula>1</formula>
    </cfRule>
    <cfRule type="cellIs" dxfId="5505" priority="5835" operator="between">
      <formula>0.95</formula>
      <formula>1</formula>
    </cfRule>
    <cfRule type="cellIs" dxfId="5504" priority="5836" stopIfTrue="1" operator="between">
      <formula>0</formula>
      <formula>0.5</formula>
    </cfRule>
  </conditionalFormatting>
  <conditionalFormatting sqref="N73">
    <cfRule type="cellIs" dxfId="5503" priority="5827" operator="between">
      <formula>0.76</formula>
      <formula>0.95</formula>
    </cfRule>
    <cfRule type="cellIs" dxfId="5502" priority="5828" operator="between">
      <formula>0.51</formula>
      <formula>0.75</formula>
    </cfRule>
    <cfRule type="cellIs" dxfId="5501" priority="5829" operator="greaterThan">
      <formula>1</formula>
    </cfRule>
    <cfRule type="cellIs" dxfId="5500" priority="5830" operator="between">
      <formula>0.95</formula>
      <formula>1</formula>
    </cfRule>
    <cfRule type="cellIs" dxfId="5499" priority="5831" stopIfTrue="1" operator="between">
      <formula>0</formula>
      <formula>0.5</formula>
    </cfRule>
  </conditionalFormatting>
  <conditionalFormatting sqref="N74">
    <cfRule type="cellIs" dxfId="5498" priority="5822" operator="between">
      <formula>0.76</formula>
      <formula>0.95</formula>
    </cfRule>
    <cfRule type="cellIs" dxfId="5497" priority="5823" operator="between">
      <formula>0.51</formula>
      <formula>0.75</formula>
    </cfRule>
    <cfRule type="cellIs" dxfId="5496" priority="5824" operator="greaterThan">
      <formula>1</formula>
    </cfRule>
    <cfRule type="cellIs" dxfId="5495" priority="5825" operator="between">
      <formula>0.95</formula>
      <formula>1</formula>
    </cfRule>
    <cfRule type="cellIs" dxfId="5494" priority="5826" stopIfTrue="1" operator="between">
      <formula>0</formula>
      <formula>0.5</formula>
    </cfRule>
  </conditionalFormatting>
  <conditionalFormatting sqref="N75">
    <cfRule type="cellIs" dxfId="5493" priority="5817" operator="between">
      <formula>0.76</formula>
      <formula>0.95</formula>
    </cfRule>
    <cfRule type="cellIs" dxfId="5492" priority="5818" operator="between">
      <formula>0.51</formula>
      <formula>0.75</formula>
    </cfRule>
    <cfRule type="cellIs" dxfId="5491" priority="5819" operator="greaterThan">
      <formula>1</formula>
    </cfRule>
    <cfRule type="cellIs" dxfId="5490" priority="5820" operator="between">
      <formula>0.95</formula>
      <formula>1</formula>
    </cfRule>
    <cfRule type="cellIs" dxfId="5489" priority="5821" stopIfTrue="1" operator="between">
      <formula>0</formula>
      <formula>0.5</formula>
    </cfRule>
  </conditionalFormatting>
  <conditionalFormatting sqref="N78">
    <cfRule type="cellIs" dxfId="5488" priority="5812" operator="between">
      <formula>0.76</formula>
      <formula>0.95</formula>
    </cfRule>
    <cfRule type="cellIs" dxfId="5487" priority="5813" operator="between">
      <formula>0.51</formula>
      <formula>0.75</formula>
    </cfRule>
    <cfRule type="cellIs" dxfId="5486" priority="5814" operator="greaterThan">
      <formula>1</formula>
    </cfRule>
    <cfRule type="cellIs" dxfId="5485" priority="5815" operator="between">
      <formula>0.95</formula>
      <formula>1</formula>
    </cfRule>
    <cfRule type="cellIs" dxfId="5484" priority="5816" stopIfTrue="1" operator="between">
      <formula>0</formula>
      <formula>0.5</formula>
    </cfRule>
  </conditionalFormatting>
  <conditionalFormatting sqref="N79">
    <cfRule type="cellIs" dxfId="5483" priority="5807" operator="between">
      <formula>0.76</formula>
      <formula>0.95</formula>
    </cfRule>
    <cfRule type="cellIs" dxfId="5482" priority="5808" operator="between">
      <formula>0.51</formula>
      <formula>0.75</formula>
    </cfRule>
    <cfRule type="cellIs" dxfId="5481" priority="5809" operator="greaterThan">
      <formula>1</formula>
    </cfRule>
    <cfRule type="cellIs" dxfId="5480" priority="5810" operator="between">
      <formula>0.95</formula>
      <formula>1</formula>
    </cfRule>
    <cfRule type="cellIs" dxfId="5479" priority="5811" stopIfTrue="1" operator="between">
      <formula>0</formula>
      <formula>0.5</formula>
    </cfRule>
  </conditionalFormatting>
  <conditionalFormatting sqref="N80">
    <cfRule type="cellIs" dxfId="5478" priority="5802" operator="between">
      <formula>0.76</formula>
      <formula>0.95</formula>
    </cfRule>
    <cfRule type="cellIs" dxfId="5477" priority="5803" operator="between">
      <formula>0.51</formula>
      <formula>0.75</formula>
    </cfRule>
    <cfRule type="cellIs" dxfId="5476" priority="5804" operator="greaterThan">
      <formula>1</formula>
    </cfRule>
    <cfRule type="cellIs" dxfId="5475" priority="5805" operator="between">
      <formula>0.95</formula>
      <formula>1</formula>
    </cfRule>
    <cfRule type="cellIs" dxfId="5474" priority="5806" stopIfTrue="1" operator="between">
      <formula>0</formula>
      <formula>0.5</formula>
    </cfRule>
  </conditionalFormatting>
  <conditionalFormatting sqref="N81">
    <cfRule type="cellIs" dxfId="5473" priority="5797" operator="between">
      <formula>0.76</formula>
      <formula>0.95</formula>
    </cfRule>
    <cfRule type="cellIs" dxfId="5472" priority="5798" operator="between">
      <formula>0.51</formula>
      <formula>0.75</formula>
    </cfRule>
    <cfRule type="cellIs" dxfId="5471" priority="5799" operator="greaterThan">
      <formula>1</formula>
    </cfRule>
    <cfRule type="cellIs" dxfId="5470" priority="5800" operator="between">
      <formula>0.95</formula>
      <formula>1</formula>
    </cfRule>
    <cfRule type="cellIs" dxfId="5469" priority="5801" stopIfTrue="1" operator="between">
      <formula>0</formula>
      <formula>0.5</formula>
    </cfRule>
  </conditionalFormatting>
  <conditionalFormatting sqref="N82">
    <cfRule type="cellIs" dxfId="5468" priority="5792" operator="between">
      <formula>0.76</formula>
      <formula>0.95</formula>
    </cfRule>
    <cfRule type="cellIs" dxfId="5467" priority="5793" operator="between">
      <formula>0.51</formula>
      <formula>0.75</formula>
    </cfRule>
    <cfRule type="cellIs" dxfId="5466" priority="5794" operator="greaterThan">
      <formula>1</formula>
    </cfRule>
    <cfRule type="cellIs" dxfId="5465" priority="5795" operator="between">
      <formula>0.95</formula>
      <formula>1</formula>
    </cfRule>
    <cfRule type="cellIs" dxfId="5464" priority="5796" stopIfTrue="1" operator="between">
      <formula>0</formula>
      <formula>0.5</formula>
    </cfRule>
  </conditionalFormatting>
  <conditionalFormatting sqref="N83">
    <cfRule type="cellIs" dxfId="5463" priority="5787" operator="between">
      <formula>0.76</formula>
      <formula>0.95</formula>
    </cfRule>
    <cfRule type="cellIs" dxfId="5462" priority="5788" operator="between">
      <formula>0.51</formula>
      <formula>0.75</formula>
    </cfRule>
    <cfRule type="cellIs" dxfId="5461" priority="5789" operator="greaterThan">
      <formula>1</formula>
    </cfRule>
    <cfRule type="cellIs" dxfId="5460" priority="5790" operator="between">
      <formula>0.95</formula>
      <formula>1</formula>
    </cfRule>
    <cfRule type="cellIs" dxfId="5459" priority="5791" stopIfTrue="1" operator="between">
      <formula>0</formula>
      <formula>0.5</formula>
    </cfRule>
  </conditionalFormatting>
  <conditionalFormatting sqref="N88">
    <cfRule type="cellIs" dxfId="5458" priority="5782" operator="between">
      <formula>0.76</formula>
      <formula>0.95</formula>
    </cfRule>
    <cfRule type="cellIs" dxfId="5457" priority="5783" operator="between">
      <formula>0.51</formula>
      <formula>0.75</formula>
    </cfRule>
    <cfRule type="cellIs" dxfId="5456" priority="5784" operator="greaterThan">
      <formula>1</formula>
    </cfRule>
    <cfRule type="cellIs" dxfId="5455" priority="5785" operator="between">
      <formula>0.95</formula>
      <formula>1</formula>
    </cfRule>
    <cfRule type="cellIs" dxfId="5454" priority="5786" stopIfTrue="1" operator="between">
      <formula>0</formula>
      <formula>0.5</formula>
    </cfRule>
  </conditionalFormatting>
  <conditionalFormatting sqref="N91">
    <cfRule type="cellIs" dxfId="5453" priority="5777" operator="between">
      <formula>0.76</formula>
      <formula>0.95</formula>
    </cfRule>
    <cfRule type="cellIs" dxfId="5452" priority="5778" operator="between">
      <formula>0.51</formula>
      <formula>0.75</formula>
    </cfRule>
    <cfRule type="cellIs" dxfId="5451" priority="5779" operator="greaterThan">
      <formula>1</formula>
    </cfRule>
    <cfRule type="cellIs" dxfId="5450" priority="5780" operator="between">
      <formula>0.95</formula>
      <formula>1</formula>
    </cfRule>
    <cfRule type="cellIs" dxfId="5449" priority="5781" stopIfTrue="1" operator="between">
      <formula>0</formula>
      <formula>0.5</formula>
    </cfRule>
  </conditionalFormatting>
  <conditionalFormatting sqref="N92">
    <cfRule type="cellIs" dxfId="5448" priority="5772" operator="between">
      <formula>0.76</formula>
      <formula>0.95</formula>
    </cfRule>
    <cfRule type="cellIs" dxfId="5447" priority="5773" operator="between">
      <formula>0.51</formula>
      <formula>0.75</formula>
    </cfRule>
    <cfRule type="cellIs" dxfId="5446" priority="5774" operator="greaterThan">
      <formula>1</formula>
    </cfRule>
    <cfRule type="cellIs" dxfId="5445" priority="5775" operator="between">
      <formula>0.95</formula>
      <formula>1</formula>
    </cfRule>
    <cfRule type="cellIs" dxfId="5444" priority="5776" stopIfTrue="1" operator="between">
      <formula>0</formula>
      <formula>0.5</formula>
    </cfRule>
  </conditionalFormatting>
  <conditionalFormatting sqref="N93">
    <cfRule type="cellIs" dxfId="5443" priority="5767" operator="between">
      <formula>0.76</formula>
      <formula>0.95</formula>
    </cfRule>
    <cfRule type="cellIs" dxfId="5442" priority="5768" operator="between">
      <formula>0.51</formula>
      <formula>0.75</formula>
    </cfRule>
    <cfRule type="cellIs" dxfId="5441" priority="5769" operator="greaterThan">
      <formula>1</formula>
    </cfRule>
    <cfRule type="cellIs" dxfId="5440" priority="5770" operator="between">
      <formula>0.95</formula>
      <formula>1</formula>
    </cfRule>
    <cfRule type="cellIs" dxfId="5439" priority="5771" stopIfTrue="1" operator="between">
      <formula>0</formula>
      <formula>0.5</formula>
    </cfRule>
  </conditionalFormatting>
  <conditionalFormatting sqref="N94">
    <cfRule type="cellIs" dxfId="5438" priority="5762" operator="between">
      <formula>0.76</formula>
      <formula>0.95</formula>
    </cfRule>
    <cfRule type="cellIs" dxfId="5437" priority="5763" operator="between">
      <formula>0.51</formula>
      <formula>0.75</formula>
    </cfRule>
    <cfRule type="cellIs" dxfId="5436" priority="5764" operator="greaterThan">
      <formula>1</formula>
    </cfRule>
    <cfRule type="cellIs" dxfId="5435" priority="5765" operator="between">
      <formula>0.95</formula>
      <formula>1</formula>
    </cfRule>
    <cfRule type="cellIs" dxfId="5434" priority="5766" stopIfTrue="1" operator="between">
      <formula>0</formula>
      <formula>0.5</formula>
    </cfRule>
  </conditionalFormatting>
  <conditionalFormatting sqref="N95">
    <cfRule type="cellIs" dxfId="5433" priority="5757" operator="between">
      <formula>0.76</formula>
      <formula>0.95</formula>
    </cfRule>
    <cfRule type="cellIs" dxfId="5432" priority="5758" operator="between">
      <formula>0.51</formula>
      <formula>0.75</formula>
    </cfRule>
    <cfRule type="cellIs" dxfId="5431" priority="5759" operator="greaterThan">
      <formula>1</formula>
    </cfRule>
    <cfRule type="cellIs" dxfId="5430" priority="5760" operator="between">
      <formula>0.95</formula>
      <formula>1</formula>
    </cfRule>
    <cfRule type="cellIs" dxfId="5429" priority="5761" stopIfTrue="1" operator="between">
      <formula>0</formula>
      <formula>0.5</formula>
    </cfRule>
  </conditionalFormatting>
  <conditionalFormatting sqref="N96">
    <cfRule type="cellIs" dxfId="5428" priority="5752" operator="between">
      <formula>0.76</formula>
      <formula>0.95</formula>
    </cfRule>
    <cfRule type="cellIs" dxfId="5427" priority="5753" operator="between">
      <formula>0.51</formula>
      <formula>0.75</formula>
    </cfRule>
    <cfRule type="cellIs" dxfId="5426" priority="5754" operator="greaterThan">
      <formula>1</formula>
    </cfRule>
    <cfRule type="cellIs" dxfId="5425" priority="5755" operator="between">
      <formula>0.95</formula>
      <formula>1</formula>
    </cfRule>
    <cfRule type="cellIs" dxfId="5424" priority="5756" stopIfTrue="1" operator="between">
      <formula>0</formula>
      <formula>0.5</formula>
    </cfRule>
  </conditionalFormatting>
  <conditionalFormatting sqref="N98">
    <cfRule type="cellIs" dxfId="5423" priority="5747" operator="between">
      <formula>0.76</formula>
      <formula>0.95</formula>
    </cfRule>
    <cfRule type="cellIs" dxfId="5422" priority="5748" operator="between">
      <formula>0.51</formula>
      <formula>0.75</formula>
    </cfRule>
    <cfRule type="cellIs" dxfId="5421" priority="5749" operator="greaterThan">
      <formula>1</formula>
    </cfRule>
    <cfRule type="cellIs" dxfId="5420" priority="5750" operator="between">
      <formula>0.95</formula>
      <formula>1</formula>
    </cfRule>
    <cfRule type="cellIs" dxfId="5419" priority="5751" stopIfTrue="1" operator="between">
      <formula>0</formula>
      <formula>0.5</formula>
    </cfRule>
  </conditionalFormatting>
  <conditionalFormatting sqref="N99">
    <cfRule type="cellIs" dxfId="5418" priority="5742" operator="between">
      <formula>0.76</formula>
      <formula>0.95</formula>
    </cfRule>
    <cfRule type="cellIs" dxfId="5417" priority="5743" operator="between">
      <formula>0.51</formula>
      <formula>0.75</formula>
    </cfRule>
    <cfRule type="cellIs" dxfId="5416" priority="5744" operator="greaterThan">
      <formula>1</formula>
    </cfRule>
    <cfRule type="cellIs" dxfId="5415" priority="5745" operator="between">
      <formula>0.95</formula>
      <formula>1</formula>
    </cfRule>
    <cfRule type="cellIs" dxfId="5414" priority="5746" stopIfTrue="1" operator="between">
      <formula>0</formula>
      <formula>0.5</formula>
    </cfRule>
  </conditionalFormatting>
  <conditionalFormatting sqref="N101">
    <cfRule type="cellIs" dxfId="5413" priority="5732" operator="between">
      <formula>0.76</formula>
      <formula>0.95</formula>
    </cfRule>
    <cfRule type="cellIs" dxfId="5412" priority="5733" operator="between">
      <formula>0.51</formula>
      <formula>0.75</formula>
    </cfRule>
    <cfRule type="cellIs" dxfId="5411" priority="5734" operator="greaterThan">
      <formula>1</formula>
    </cfRule>
    <cfRule type="cellIs" dxfId="5410" priority="5735" operator="between">
      <formula>0.95</formula>
      <formula>1</formula>
    </cfRule>
    <cfRule type="cellIs" dxfId="5409" priority="5736" stopIfTrue="1" operator="between">
      <formula>0</formula>
      <formula>0.5</formula>
    </cfRule>
  </conditionalFormatting>
  <conditionalFormatting sqref="N103">
    <cfRule type="cellIs" dxfId="5408" priority="5722" operator="between">
      <formula>0.76</formula>
      <formula>0.95</formula>
    </cfRule>
    <cfRule type="cellIs" dxfId="5407" priority="5723" operator="between">
      <formula>0.51</formula>
      <formula>0.75</formula>
    </cfRule>
    <cfRule type="cellIs" dxfId="5406" priority="5724" operator="greaterThan">
      <formula>1</formula>
    </cfRule>
    <cfRule type="cellIs" dxfId="5405" priority="5725" operator="between">
      <formula>0.95</formula>
      <formula>1</formula>
    </cfRule>
    <cfRule type="cellIs" dxfId="5404" priority="5726" stopIfTrue="1" operator="between">
      <formula>0</formula>
      <formula>0.5</formula>
    </cfRule>
  </conditionalFormatting>
  <conditionalFormatting sqref="N104">
    <cfRule type="cellIs" dxfId="5403" priority="5717" operator="between">
      <formula>0.76</formula>
      <formula>0.95</formula>
    </cfRule>
    <cfRule type="cellIs" dxfId="5402" priority="5718" operator="between">
      <formula>0.51</formula>
      <formula>0.75</formula>
    </cfRule>
    <cfRule type="cellIs" dxfId="5401" priority="5719" operator="greaterThan">
      <formula>1</formula>
    </cfRule>
    <cfRule type="cellIs" dxfId="5400" priority="5720" operator="between">
      <formula>0.95</formula>
      <formula>1</formula>
    </cfRule>
    <cfRule type="cellIs" dxfId="5399" priority="5721" stopIfTrue="1" operator="between">
      <formula>0</formula>
      <formula>0.5</formula>
    </cfRule>
  </conditionalFormatting>
  <conditionalFormatting sqref="N105">
    <cfRule type="cellIs" dxfId="5398" priority="5712" operator="between">
      <formula>0.76</formula>
      <formula>0.95</formula>
    </cfRule>
    <cfRule type="cellIs" dxfId="5397" priority="5713" operator="between">
      <formula>0.51</formula>
      <formula>0.75</formula>
    </cfRule>
    <cfRule type="cellIs" dxfId="5396" priority="5714" operator="greaterThan">
      <formula>1</formula>
    </cfRule>
    <cfRule type="cellIs" dxfId="5395" priority="5715" operator="between">
      <formula>0.95</formula>
      <formula>1</formula>
    </cfRule>
    <cfRule type="cellIs" dxfId="5394" priority="5716" stopIfTrue="1" operator="between">
      <formula>0</formula>
      <formula>0.5</formula>
    </cfRule>
  </conditionalFormatting>
  <conditionalFormatting sqref="N106">
    <cfRule type="cellIs" dxfId="5393" priority="5707" operator="between">
      <formula>0.76</formula>
      <formula>0.95</formula>
    </cfRule>
    <cfRule type="cellIs" dxfId="5392" priority="5708" operator="between">
      <formula>0.51</formula>
      <formula>0.75</formula>
    </cfRule>
    <cfRule type="cellIs" dxfId="5391" priority="5709" operator="greaterThan">
      <formula>1</formula>
    </cfRule>
    <cfRule type="cellIs" dxfId="5390" priority="5710" operator="between">
      <formula>0.95</formula>
      <formula>1</formula>
    </cfRule>
    <cfRule type="cellIs" dxfId="5389" priority="5711" stopIfTrue="1" operator="between">
      <formula>0</formula>
      <formula>0.5</formula>
    </cfRule>
  </conditionalFormatting>
  <conditionalFormatting sqref="N107">
    <cfRule type="cellIs" dxfId="5388" priority="5702" operator="between">
      <formula>0.76</formula>
      <formula>0.95</formula>
    </cfRule>
    <cfRule type="cellIs" dxfId="5387" priority="5703" operator="between">
      <formula>0.51</formula>
      <formula>0.75</formula>
    </cfRule>
    <cfRule type="cellIs" dxfId="5386" priority="5704" operator="greaterThan">
      <formula>1</formula>
    </cfRule>
    <cfRule type="cellIs" dxfId="5385" priority="5705" operator="between">
      <formula>0.95</formula>
      <formula>1</formula>
    </cfRule>
    <cfRule type="cellIs" dxfId="5384" priority="5706" stopIfTrue="1" operator="between">
      <formula>0</formula>
      <formula>0.5</formula>
    </cfRule>
  </conditionalFormatting>
  <conditionalFormatting sqref="N108:N109">
    <cfRule type="cellIs" dxfId="5383" priority="5697" operator="between">
      <formula>0.76</formula>
      <formula>0.95</formula>
    </cfRule>
    <cfRule type="cellIs" dxfId="5382" priority="5698" operator="between">
      <formula>0.51</formula>
      <formula>0.75</formula>
    </cfRule>
    <cfRule type="cellIs" dxfId="5381" priority="5699" operator="greaterThan">
      <formula>1</formula>
    </cfRule>
    <cfRule type="cellIs" dxfId="5380" priority="5700" operator="between">
      <formula>0.95</formula>
      <formula>1</formula>
    </cfRule>
    <cfRule type="cellIs" dxfId="5379" priority="5701" stopIfTrue="1" operator="between">
      <formula>0</formula>
      <formula>0.5</formula>
    </cfRule>
  </conditionalFormatting>
  <conditionalFormatting sqref="N110">
    <cfRule type="cellIs" dxfId="5378" priority="5692" operator="between">
      <formula>0.76</formula>
      <formula>0.95</formula>
    </cfRule>
    <cfRule type="cellIs" dxfId="5377" priority="5693" operator="between">
      <formula>0.51</formula>
      <formula>0.75</formula>
    </cfRule>
    <cfRule type="cellIs" dxfId="5376" priority="5694" operator="greaterThan">
      <formula>1</formula>
    </cfRule>
    <cfRule type="cellIs" dxfId="5375" priority="5695" operator="between">
      <formula>0.95</formula>
      <formula>1</formula>
    </cfRule>
    <cfRule type="cellIs" dxfId="5374" priority="5696" stopIfTrue="1" operator="between">
      <formula>0</formula>
      <formula>0.5</formula>
    </cfRule>
  </conditionalFormatting>
  <conditionalFormatting sqref="N111">
    <cfRule type="cellIs" dxfId="5373" priority="5687" operator="between">
      <formula>0.76</formula>
      <formula>0.95</formula>
    </cfRule>
    <cfRule type="cellIs" dxfId="5372" priority="5688" operator="between">
      <formula>0.51</formula>
      <formula>0.75</formula>
    </cfRule>
    <cfRule type="cellIs" dxfId="5371" priority="5689" operator="greaterThan">
      <formula>1</formula>
    </cfRule>
    <cfRule type="cellIs" dxfId="5370" priority="5690" operator="between">
      <formula>0.95</formula>
      <formula>1</formula>
    </cfRule>
    <cfRule type="cellIs" dxfId="5369" priority="5691" stopIfTrue="1" operator="between">
      <formula>0</formula>
      <formula>0.5</formula>
    </cfRule>
  </conditionalFormatting>
  <conditionalFormatting sqref="N112">
    <cfRule type="cellIs" dxfId="5368" priority="5682" operator="between">
      <formula>0.76</formula>
      <formula>0.95</formula>
    </cfRule>
    <cfRule type="cellIs" dxfId="5367" priority="5683" operator="between">
      <formula>0.51</formula>
      <formula>0.75</formula>
    </cfRule>
    <cfRule type="cellIs" dxfId="5366" priority="5684" operator="greaterThan">
      <formula>1</formula>
    </cfRule>
    <cfRule type="cellIs" dxfId="5365" priority="5685" operator="between">
      <formula>0.95</formula>
      <formula>1</formula>
    </cfRule>
    <cfRule type="cellIs" dxfId="5364" priority="5686" stopIfTrue="1" operator="between">
      <formula>0</formula>
      <formula>0.5</formula>
    </cfRule>
  </conditionalFormatting>
  <conditionalFormatting sqref="N113">
    <cfRule type="cellIs" dxfId="5363" priority="5677" operator="between">
      <formula>0.76</formula>
      <formula>0.95</formula>
    </cfRule>
    <cfRule type="cellIs" dxfId="5362" priority="5678" operator="between">
      <formula>0.51</formula>
      <formula>0.75</formula>
    </cfRule>
    <cfRule type="cellIs" dxfId="5361" priority="5679" operator="greaterThan">
      <formula>1</formula>
    </cfRule>
    <cfRule type="cellIs" dxfId="5360" priority="5680" operator="between">
      <formula>0.95</formula>
      <formula>1</formula>
    </cfRule>
    <cfRule type="cellIs" dxfId="5359" priority="5681" stopIfTrue="1" operator="between">
      <formula>0</formula>
      <formula>0.5</formula>
    </cfRule>
  </conditionalFormatting>
  <conditionalFormatting sqref="N114">
    <cfRule type="cellIs" dxfId="5358" priority="5667" operator="between">
      <formula>0.76</formula>
      <formula>0.95</formula>
    </cfRule>
    <cfRule type="cellIs" dxfId="5357" priority="5668" operator="between">
      <formula>0.51</formula>
      <formula>0.75</formula>
    </cfRule>
    <cfRule type="cellIs" dxfId="5356" priority="5669" operator="greaterThan">
      <formula>1</formula>
    </cfRule>
    <cfRule type="cellIs" dxfId="5355" priority="5670" operator="between">
      <formula>0.95</formula>
      <formula>1</formula>
    </cfRule>
    <cfRule type="cellIs" dxfId="5354" priority="5671" stopIfTrue="1" operator="between">
      <formula>0</formula>
      <formula>0.5</formula>
    </cfRule>
  </conditionalFormatting>
  <conditionalFormatting sqref="N115">
    <cfRule type="cellIs" dxfId="5353" priority="5662" operator="between">
      <formula>0.76</formula>
      <formula>0.95</formula>
    </cfRule>
    <cfRule type="cellIs" dxfId="5352" priority="5663" operator="between">
      <formula>0.51</formula>
      <formula>0.75</formula>
    </cfRule>
    <cfRule type="cellIs" dxfId="5351" priority="5664" operator="greaterThan">
      <formula>1</formula>
    </cfRule>
    <cfRule type="cellIs" dxfId="5350" priority="5665" operator="between">
      <formula>0.95</formula>
      <formula>1</formula>
    </cfRule>
    <cfRule type="cellIs" dxfId="5349" priority="5666" stopIfTrue="1" operator="between">
      <formula>0</formula>
      <formula>0.5</formula>
    </cfRule>
  </conditionalFormatting>
  <conditionalFormatting sqref="N116">
    <cfRule type="cellIs" dxfId="5348" priority="5657" operator="between">
      <formula>0.76</formula>
      <formula>0.95</formula>
    </cfRule>
    <cfRule type="cellIs" dxfId="5347" priority="5658" operator="between">
      <formula>0.51</formula>
      <formula>0.75</formula>
    </cfRule>
    <cfRule type="cellIs" dxfId="5346" priority="5659" operator="greaterThan">
      <formula>1</formula>
    </cfRule>
    <cfRule type="cellIs" dxfId="5345" priority="5660" operator="between">
      <formula>0.95</formula>
      <formula>1</formula>
    </cfRule>
    <cfRule type="cellIs" dxfId="5344" priority="5661" stopIfTrue="1" operator="between">
      <formula>0</formula>
      <formula>0.5</formula>
    </cfRule>
  </conditionalFormatting>
  <conditionalFormatting sqref="N117">
    <cfRule type="cellIs" dxfId="5343" priority="5652" operator="between">
      <formula>0.76</formula>
      <formula>0.95</formula>
    </cfRule>
    <cfRule type="cellIs" dxfId="5342" priority="5653" operator="between">
      <formula>0.51</formula>
      <formula>0.75</formula>
    </cfRule>
    <cfRule type="cellIs" dxfId="5341" priority="5654" operator="greaterThan">
      <formula>1</formula>
    </cfRule>
    <cfRule type="cellIs" dxfId="5340" priority="5655" operator="between">
      <formula>0.95</formula>
      <formula>1</formula>
    </cfRule>
    <cfRule type="cellIs" dxfId="5339" priority="5656" stopIfTrue="1" operator="between">
      <formula>0</formula>
      <formula>0.5</formula>
    </cfRule>
  </conditionalFormatting>
  <conditionalFormatting sqref="N118">
    <cfRule type="cellIs" dxfId="5338" priority="5647" operator="between">
      <formula>0.76</formula>
      <formula>0.95</formula>
    </cfRule>
    <cfRule type="cellIs" dxfId="5337" priority="5648" operator="between">
      <formula>0.51</formula>
      <formula>0.75</formula>
    </cfRule>
    <cfRule type="cellIs" dxfId="5336" priority="5649" operator="greaterThan">
      <formula>1</formula>
    </cfRule>
    <cfRule type="cellIs" dxfId="5335" priority="5650" operator="between">
      <formula>0.95</formula>
      <formula>1</formula>
    </cfRule>
    <cfRule type="cellIs" dxfId="5334" priority="5651" stopIfTrue="1" operator="between">
      <formula>0</formula>
      <formula>0.5</formula>
    </cfRule>
  </conditionalFormatting>
  <conditionalFormatting sqref="N119">
    <cfRule type="cellIs" dxfId="5333" priority="5642" operator="between">
      <formula>0.76</formula>
      <formula>0.95</formula>
    </cfRule>
    <cfRule type="cellIs" dxfId="5332" priority="5643" operator="between">
      <formula>0.51</formula>
      <formula>0.75</formula>
    </cfRule>
    <cfRule type="cellIs" dxfId="5331" priority="5644" operator="greaterThan">
      <formula>1</formula>
    </cfRule>
    <cfRule type="cellIs" dxfId="5330" priority="5645" operator="between">
      <formula>0.95</formula>
      <formula>1</formula>
    </cfRule>
    <cfRule type="cellIs" dxfId="5329" priority="5646" stopIfTrue="1" operator="between">
      <formula>0</formula>
      <formula>0.5</formula>
    </cfRule>
  </conditionalFormatting>
  <conditionalFormatting sqref="N120">
    <cfRule type="cellIs" dxfId="5328" priority="5637" operator="between">
      <formula>0.76</formula>
      <formula>0.95</formula>
    </cfRule>
    <cfRule type="cellIs" dxfId="5327" priority="5638" operator="between">
      <formula>0.51</formula>
      <formula>0.75</formula>
    </cfRule>
    <cfRule type="cellIs" dxfId="5326" priority="5639" operator="greaterThan">
      <formula>1</formula>
    </cfRule>
    <cfRule type="cellIs" dxfId="5325" priority="5640" operator="between">
      <formula>0.95</formula>
      <formula>1</formula>
    </cfRule>
    <cfRule type="cellIs" dxfId="5324" priority="5641" stopIfTrue="1" operator="between">
      <formula>0</formula>
      <formula>0.5</formula>
    </cfRule>
  </conditionalFormatting>
  <conditionalFormatting sqref="N121">
    <cfRule type="cellIs" dxfId="5323" priority="5632" operator="between">
      <formula>0.76</formula>
      <formula>0.95</formula>
    </cfRule>
    <cfRule type="cellIs" dxfId="5322" priority="5633" operator="between">
      <formula>0.51</formula>
      <formula>0.75</formula>
    </cfRule>
    <cfRule type="cellIs" dxfId="5321" priority="5634" operator="greaterThan">
      <formula>1</formula>
    </cfRule>
    <cfRule type="cellIs" dxfId="5320" priority="5635" operator="between">
      <formula>0.95</formula>
      <formula>1</formula>
    </cfRule>
    <cfRule type="cellIs" dxfId="5319" priority="5636" stopIfTrue="1" operator="between">
      <formula>0</formula>
      <formula>0.5</formula>
    </cfRule>
  </conditionalFormatting>
  <conditionalFormatting sqref="N122">
    <cfRule type="cellIs" dxfId="5318" priority="5627" operator="between">
      <formula>0.76</formula>
      <formula>0.95</formula>
    </cfRule>
    <cfRule type="cellIs" dxfId="5317" priority="5628" operator="between">
      <formula>0.51</formula>
      <formula>0.75</formula>
    </cfRule>
    <cfRule type="cellIs" dxfId="5316" priority="5629" operator="greaterThan">
      <formula>1</formula>
    </cfRule>
    <cfRule type="cellIs" dxfId="5315" priority="5630" operator="between">
      <formula>0.95</formula>
      <formula>1</formula>
    </cfRule>
    <cfRule type="cellIs" dxfId="5314" priority="5631" stopIfTrue="1" operator="between">
      <formula>0</formula>
      <formula>0.5</formula>
    </cfRule>
  </conditionalFormatting>
  <conditionalFormatting sqref="N123">
    <cfRule type="cellIs" dxfId="5313" priority="5622" operator="between">
      <formula>0.76</formula>
      <formula>0.95</formula>
    </cfRule>
    <cfRule type="cellIs" dxfId="5312" priority="5623" operator="between">
      <formula>0.51</formula>
      <formula>0.75</formula>
    </cfRule>
    <cfRule type="cellIs" dxfId="5311" priority="5624" operator="greaterThan">
      <formula>1</formula>
    </cfRule>
    <cfRule type="cellIs" dxfId="5310" priority="5625" operator="between">
      <formula>0.95</formula>
      <formula>1</formula>
    </cfRule>
    <cfRule type="cellIs" dxfId="5309" priority="5626" stopIfTrue="1" operator="between">
      <formula>0</formula>
      <formula>0.5</formula>
    </cfRule>
  </conditionalFormatting>
  <conditionalFormatting sqref="N124">
    <cfRule type="cellIs" dxfId="5308" priority="5617" operator="between">
      <formula>0.76</formula>
      <formula>0.95</formula>
    </cfRule>
    <cfRule type="cellIs" dxfId="5307" priority="5618" operator="between">
      <formula>0.51</formula>
      <formula>0.75</formula>
    </cfRule>
    <cfRule type="cellIs" dxfId="5306" priority="5619" operator="greaterThan">
      <formula>1</formula>
    </cfRule>
    <cfRule type="cellIs" dxfId="5305" priority="5620" operator="between">
      <formula>0.95</formula>
      <formula>1</formula>
    </cfRule>
    <cfRule type="cellIs" dxfId="5304" priority="5621" stopIfTrue="1" operator="between">
      <formula>0</formula>
      <formula>0.5</formula>
    </cfRule>
  </conditionalFormatting>
  <conditionalFormatting sqref="N125">
    <cfRule type="cellIs" dxfId="5303" priority="5612" operator="between">
      <formula>0.76</formula>
      <formula>0.95</formula>
    </cfRule>
    <cfRule type="cellIs" dxfId="5302" priority="5613" operator="between">
      <formula>0.51</formula>
      <formula>0.75</formula>
    </cfRule>
    <cfRule type="cellIs" dxfId="5301" priority="5614" operator="greaterThan">
      <formula>1</formula>
    </cfRule>
    <cfRule type="cellIs" dxfId="5300" priority="5615" operator="between">
      <formula>0.95</formula>
      <formula>1</formula>
    </cfRule>
    <cfRule type="cellIs" dxfId="5299" priority="5616" stopIfTrue="1" operator="between">
      <formula>0</formula>
      <formula>0.5</formula>
    </cfRule>
  </conditionalFormatting>
  <conditionalFormatting sqref="N126">
    <cfRule type="cellIs" dxfId="5298" priority="5607" operator="between">
      <formula>0.76</formula>
      <formula>0.95</formula>
    </cfRule>
    <cfRule type="cellIs" dxfId="5297" priority="5608" operator="between">
      <formula>0.51</formula>
      <formula>0.75</formula>
    </cfRule>
    <cfRule type="cellIs" dxfId="5296" priority="5609" operator="greaterThan">
      <formula>1</formula>
    </cfRule>
    <cfRule type="cellIs" dxfId="5295" priority="5610" operator="between">
      <formula>0.95</formula>
      <formula>1</formula>
    </cfRule>
    <cfRule type="cellIs" dxfId="5294" priority="5611" stopIfTrue="1" operator="between">
      <formula>0</formula>
      <formula>0.5</formula>
    </cfRule>
  </conditionalFormatting>
  <conditionalFormatting sqref="N127">
    <cfRule type="cellIs" dxfId="5293" priority="5602" operator="between">
      <formula>0.76</formula>
      <formula>0.95</formula>
    </cfRule>
    <cfRule type="cellIs" dxfId="5292" priority="5603" operator="between">
      <formula>0.51</formula>
      <formula>0.75</formula>
    </cfRule>
    <cfRule type="cellIs" dxfId="5291" priority="5604" operator="greaterThan">
      <formula>1</formula>
    </cfRule>
    <cfRule type="cellIs" dxfId="5290" priority="5605" operator="between">
      <formula>0.95</formula>
      <formula>1</formula>
    </cfRule>
    <cfRule type="cellIs" dxfId="5289" priority="5606" stopIfTrue="1" operator="between">
      <formula>0</formula>
      <formula>0.5</formula>
    </cfRule>
  </conditionalFormatting>
  <conditionalFormatting sqref="N129">
    <cfRule type="cellIs" dxfId="5288" priority="5597" operator="between">
      <formula>0.76</formula>
      <formula>0.95</formula>
    </cfRule>
    <cfRule type="cellIs" dxfId="5287" priority="5598" operator="between">
      <formula>0.51</formula>
      <formula>0.75</formula>
    </cfRule>
    <cfRule type="cellIs" dxfId="5286" priority="5599" operator="greaterThan">
      <formula>1</formula>
    </cfRule>
    <cfRule type="cellIs" dxfId="5285" priority="5600" operator="between">
      <formula>0.95</formula>
      <formula>1</formula>
    </cfRule>
    <cfRule type="cellIs" dxfId="5284" priority="5601" stopIfTrue="1" operator="between">
      <formula>0</formula>
      <formula>0.5</formula>
    </cfRule>
  </conditionalFormatting>
  <conditionalFormatting sqref="N128">
    <cfRule type="cellIs" dxfId="5283" priority="5592" operator="between">
      <formula>0.76</formula>
      <formula>0.95</formula>
    </cfRule>
    <cfRule type="cellIs" dxfId="5282" priority="5593" operator="between">
      <formula>0.51</formula>
      <formula>0.75</formula>
    </cfRule>
    <cfRule type="cellIs" dxfId="5281" priority="5594" operator="greaterThan">
      <formula>1</formula>
    </cfRule>
    <cfRule type="cellIs" dxfId="5280" priority="5595" operator="between">
      <formula>0.95</formula>
      <formula>1</formula>
    </cfRule>
    <cfRule type="cellIs" dxfId="5279" priority="5596" stopIfTrue="1" operator="between">
      <formula>0</formula>
      <formula>0.5</formula>
    </cfRule>
  </conditionalFormatting>
  <conditionalFormatting sqref="N130">
    <cfRule type="cellIs" dxfId="5278" priority="5587" operator="between">
      <formula>0.76</formula>
      <formula>0.95</formula>
    </cfRule>
    <cfRule type="cellIs" dxfId="5277" priority="5588" operator="between">
      <formula>0.51</formula>
      <formula>0.75</formula>
    </cfRule>
    <cfRule type="cellIs" dxfId="5276" priority="5589" operator="greaterThan">
      <formula>1</formula>
    </cfRule>
    <cfRule type="cellIs" dxfId="5275" priority="5590" operator="between">
      <formula>0.95</formula>
      <formula>1</formula>
    </cfRule>
    <cfRule type="cellIs" dxfId="5274" priority="5591" stopIfTrue="1" operator="between">
      <formula>0</formula>
      <formula>0.5</formula>
    </cfRule>
  </conditionalFormatting>
  <conditionalFormatting sqref="N131">
    <cfRule type="cellIs" dxfId="5273" priority="5582" operator="between">
      <formula>0.76</formula>
      <formula>0.95</formula>
    </cfRule>
    <cfRule type="cellIs" dxfId="5272" priority="5583" operator="between">
      <formula>0.51</formula>
      <formula>0.75</formula>
    </cfRule>
    <cfRule type="cellIs" dxfId="5271" priority="5584" operator="greaterThan">
      <formula>1</formula>
    </cfRule>
    <cfRule type="cellIs" dxfId="5270" priority="5585" operator="between">
      <formula>0.95</formula>
      <formula>1</formula>
    </cfRule>
    <cfRule type="cellIs" dxfId="5269" priority="5586" stopIfTrue="1" operator="between">
      <formula>0</formula>
      <formula>0.5</formula>
    </cfRule>
  </conditionalFormatting>
  <conditionalFormatting sqref="N132">
    <cfRule type="cellIs" dxfId="5268" priority="5577" operator="between">
      <formula>0.76</formula>
      <formula>0.95</formula>
    </cfRule>
    <cfRule type="cellIs" dxfId="5267" priority="5578" operator="between">
      <formula>0.51</formula>
      <formula>0.75</formula>
    </cfRule>
    <cfRule type="cellIs" dxfId="5266" priority="5579" operator="greaterThan">
      <formula>1</formula>
    </cfRule>
    <cfRule type="cellIs" dxfId="5265" priority="5580" operator="between">
      <formula>0.95</formula>
      <formula>1</formula>
    </cfRule>
    <cfRule type="cellIs" dxfId="5264" priority="5581" stopIfTrue="1" operator="between">
      <formula>0</formula>
      <formula>0.5</formula>
    </cfRule>
  </conditionalFormatting>
  <conditionalFormatting sqref="N133">
    <cfRule type="cellIs" dxfId="5263" priority="5572" operator="between">
      <formula>0.76</formula>
      <formula>0.95</formula>
    </cfRule>
    <cfRule type="cellIs" dxfId="5262" priority="5573" operator="between">
      <formula>0.51</formula>
      <formula>0.75</formula>
    </cfRule>
    <cfRule type="cellIs" dxfId="5261" priority="5574" operator="greaterThan">
      <formula>1</formula>
    </cfRule>
    <cfRule type="cellIs" dxfId="5260" priority="5575" operator="between">
      <formula>0.95</formula>
      <formula>1</formula>
    </cfRule>
    <cfRule type="cellIs" dxfId="5259" priority="5576" stopIfTrue="1" operator="between">
      <formula>0</formula>
      <formula>0.5</formula>
    </cfRule>
  </conditionalFormatting>
  <conditionalFormatting sqref="N134">
    <cfRule type="cellIs" dxfId="5258" priority="5567" operator="between">
      <formula>0.76</formula>
      <formula>0.95</formula>
    </cfRule>
    <cfRule type="cellIs" dxfId="5257" priority="5568" operator="between">
      <formula>0.51</formula>
      <formula>0.75</formula>
    </cfRule>
    <cfRule type="cellIs" dxfId="5256" priority="5569" operator="greaterThan">
      <formula>1</formula>
    </cfRule>
    <cfRule type="cellIs" dxfId="5255" priority="5570" operator="between">
      <formula>0.95</formula>
      <formula>1</formula>
    </cfRule>
    <cfRule type="cellIs" dxfId="5254" priority="5571" stopIfTrue="1" operator="between">
      <formula>0</formula>
      <formula>0.5</formula>
    </cfRule>
  </conditionalFormatting>
  <conditionalFormatting sqref="N136">
    <cfRule type="cellIs" dxfId="5253" priority="5562" operator="between">
      <formula>0.76</formula>
      <formula>0.95</formula>
    </cfRule>
    <cfRule type="cellIs" dxfId="5252" priority="5563" operator="between">
      <formula>0.51</formula>
      <formula>0.75</formula>
    </cfRule>
    <cfRule type="cellIs" dxfId="5251" priority="5564" operator="greaterThan">
      <formula>1</formula>
    </cfRule>
    <cfRule type="cellIs" dxfId="5250" priority="5565" operator="between">
      <formula>0.95</formula>
      <formula>1</formula>
    </cfRule>
    <cfRule type="cellIs" dxfId="5249" priority="5566" stopIfTrue="1" operator="between">
      <formula>0</formula>
      <formula>0.5</formula>
    </cfRule>
  </conditionalFormatting>
  <conditionalFormatting sqref="N137">
    <cfRule type="cellIs" dxfId="5248" priority="5557" operator="between">
      <formula>0.76</formula>
      <formula>0.95</formula>
    </cfRule>
    <cfRule type="cellIs" dxfId="5247" priority="5558" operator="between">
      <formula>0.51</formula>
      <formula>0.75</formula>
    </cfRule>
    <cfRule type="cellIs" dxfId="5246" priority="5559" operator="greaterThan">
      <formula>1</formula>
    </cfRule>
    <cfRule type="cellIs" dxfId="5245" priority="5560" operator="between">
      <formula>0.95</formula>
      <formula>1</formula>
    </cfRule>
    <cfRule type="cellIs" dxfId="5244" priority="5561" stopIfTrue="1" operator="between">
      <formula>0</formula>
      <formula>0.5</formula>
    </cfRule>
  </conditionalFormatting>
  <conditionalFormatting sqref="N138">
    <cfRule type="cellIs" dxfId="5243" priority="5552" operator="between">
      <formula>0.76</formula>
      <formula>0.95</formula>
    </cfRule>
    <cfRule type="cellIs" dxfId="5242" priority="5553" operator="between">
      <formula>0.51</formula>
      <formula>0.75</formula>
    </cfRule>
    <cfRule type="cellIs" dxfId="5241" priority="5554" operator="greaterThan">
      <formula>1</formula>
    </cfRule>
    <cfRule type="cellIs" dxfId="5240" priority="5555" operator="between">
      <formula>0.95</formula>
      <formula>1</formula>
    </cfRule>
    <cfRule type="cellIs" dxfId="5239" priority="5556" stopIfTrue="1" operator="between">
      <formula>0</formula>
      <formula>0.5</formula>
    </cfRule>
  </conditionalFormatting>
  <conditionalFormatting sqref="N139">
    <cfRule type="cellIs" dxfId="5238" priority="5547" operator="between">
      <formula>0.76</formula>
      <formula>0.95</formula>
    </cfRule>
    <cfRule type="cellIs" dxfId="5237" priority="5548" operator="between">
      <formula>0.51</formula>
      <formula>0.75</formula>
    </cfRule>
    <cfRule type="cellIs" dxfId="5236" priority="5549" operator="greaterThan">
      <formula>1</formula>
    </cfRule>
    <cfRule type="cellIs" dxfId="5235" priority="5550" operator="between">
      <formula>0.95</formula>
      <formula>1</formula>
    </cfRule>
    <cfRule type="cellIs" dxfId="5234" priority="5551" stopIfTrue="1" operator="between">
      <formula>0</formula>
      <formula>0.5</formula>
    </cfRule>
  </conditionalFormatting>
  <conditionalFormatting sqref="N140">
    <cfRule type="cellIs" dxfId="5233" priority="5542" operator="between">
      <formula>0.76</formula>
      <formula>0.95</formula>
    </cfRule>
    <cfRule type="cellIs" dxfId="5232" priority="5543" operator="between">
      <formula>0.51</formula>
      <formula>0.75</formula>
    </cfRule>
    <cfRule type="cellIs" dxfId="5231" priority="5544" operator="greaterThan">
      <formula>1</formula>
    </cfRule>
    <cfRule type="cellIs" dxfId="5230" priority="5545" operator="between">
      <formula>0.95</formula>
      <formula>1</formula>
    </cfRule>
    <cfRule type="cellIs" dxfId="5229" priority="5546" stopIfTrue="1" operator="between">
      <formula>0</formula>
      <formula>0.5</formula>
    </cfRule>
  </conditionalFormatting>
  <conditionalFormatting sqref="N141">
    <cfRule type="cellIs" dxfId="5228" priority="5537" operator="between">
      <formula>0.76</formula>
      <formula>0.95</formula>
    </cfRule>
    <cfRule type="cellIs" dxfId="5227" priority="5538" operator="between">
      <formula>0.51</formula>
      <formula>0.75</formula>
    </cfRule>
    <cfRule type="cellIs" dxfId="5226" priority="5539" operator="greaterThan">
      <formula>1</formula>
    </cfRule>
    <cfRule type="cellIs" dxfId="5225" priority="5540" operator="between">
      <formula>0.95</formula>
      <formula>1</formula>
    </cfRule>
    <cfRule type="cellIs" dxfId="5224" priority="5541" stopIfTrue="1" operator="between">
      <formula>0</formula>
      <formula>0.5</formula>
    </cfRule>
  </conditionalFormatting>
  <conditionalFormatting sqref="N142">
    <cfRule type="cellIs" dxfId="5223" priority="5532" operator="between">
      <formula>0.76</formula>
      <formula>0.95</formula>
    </cfRule>
    <cfRule type="cellIs" dxfId="5222" priority="5533" operator="between">
      <formula>0.51</formula>
      <formula>0.75</formula>
    </cfRule>
    <cfRule type="cellIs" dxfId="5221" priority="5534" operator="greaterThan">
      <formula>1</formula>
    </cfRule>
    <cfRule type="cellIs" dxfId="5220" priority="5535" operator="between">
      <formula>0.95</formula>
      <formula>1</formula>
    </cfRule>
    <cfRule type="cellIs" dxfId="5219" priority="5536" stopIfTrue="1" operator="between">
      <formula>0</formula>
      <formula>0.5</formula>
    </cfRule>
  </conditionalFormatting>
  <conditionalFormatting sqref="N143">
    <cfRule type="cellIs" dxfId="5218" priority="5527" operator="between">
      <formula>0.76</formula>
      <formula>0.95</formula>
    </cfRule>
    <cfRule type="cellIs" dxfId="5217" priority="5528" operator="between">
      <formula>0.51</formula>
      <formula>0.75</formula>
    </cfRule>
    <cfRule type="cellIs" dxfId="5216" priority="5529" operator="greaterThan">
      <formula>1</formula>
    </cfRule>
    <cfRule type="cellIs" dxfId="5215" priority="5530" operator="between">
      <formula>0.95</formula>
      <formula>1</formula>
    </cfRule>
    <cfRule type="cellIs" dxfId="5214" priority="5531" stopIfTrue="1" operator="between">
      <formula>0</formula>
      <formula>0.5</formula>
    </cfRule>
  </conditionalFormatting>
  <conditionalFormatting sqref="N144">
    <cfRule type="cellIs" dxfId="5213" priority="5522" operator="between">
      <formula>0.76</formula>
      <formula>0.95</formula>
    </cfRule>
    <cfRule type="cellIs" dxfId="5212" priority="5523" operator="between">
      <formula>0.51</formula>
      <formula>0.75</formula>
    </cfRule>
    <cfRule type="cellIs" dxfId="5211" priority="5524" operator="greaterThan">
      <formula>1</formula>
    </cfRule>
    <cfRule type="cellIs" dxfId="5210" priority="5525" operator="between">
      <formula>0.95</formula>
      <formula>1</formula>
    </cfRule>
    <cfRule type="cellIs" dxfId="5209" priority="5526" stopIfTrue="1" operator="between">
      <formula>0</formula>
      <formula>0.5</formula>
    </cfRule>
  </conditionalFormatting>
  <conditionalFormatting sqref="N145">
    <cfRule type="cellIs" dxfId="5208" priority="5517" operator="between">
      <formula>0.76</formula>
      <formula>0.95</formula>
    </cfRule>
    <cfRule type="cellIs" dxfId="5207" priority="5518" operator="between">
      <formula>0.51</formula>
      <formula>0.75</formula>
    </cfRule>
    <cfRule type="cellIs" dxfId="5206" priority="5519" operator="greaterThan">
      <formula>1</formula>
    </cfRule>
    <cfRule type="cellIs" dxfId="5205" priority="5520" operator="between">
      <formula>0.95</formula>
      <formula>1</formula>
    </cfRule>
    <cfRule type="cellIs" dxfId="5204" priority="5521" stopIfTrue="1" operator="between">
      <formula>0</formula>
      <formula>0.5</formula>
    </cfRule>
  </conditionalFormatting>
  <conditionalFormatting sqref="N146">
    <cfRule type="cellIs" dxfId="5203" priority="5512" operator="between">
      <formula>0.76</formula>
      <formula>0.95</formula>
    </cfRule>
    <cfRule type="cellIs" dxfId="5202" priority="5513" operator="between">
      <formula>0.51</formula>
      <formula>0.75</formula>
    </cfRule>
    <cfRule type="cellIs" dxfId="5201" priority="5514" operator="greaterThan">
      <formula>1</formula>
    </cfRule>
    <cfRule type="cellIs" dxfId="5200" priority="5515" operator="between">
      <formula>0.95</formula>
      <formula>1</formula>
    </cfRule>
    <cfRule type="cellIs" dxfId="5199" priority="5516" stopIfTrue="1" operator="between">
      <formula>0</formula>
      <formula>0.5</formula>
    </cfRule>
  </conditionalFormatting>
  <conditionalFormatting sqref="N147">
    <cfRule type="cellIs" dxfId="5198" priority="5507" operator="between">
      <formula>0.76</formula>
      <formula>0.95</formula>
    </cfRule>
    <cfRule type="cellIs" dxfId="5197" priority="5508" operator="between">
      <formula>0.51</formula>
      <formula>0.75</formula>
    </cfRule>
    <cfRule type="cellIs" dxfId="5196" priority="5509" operator="greaterThan">
      <formula>1</formula>
    </cfRule>
    <cfRule type="cellIs" dxfId="5195" priority="5510" operator="between">
      <formula>0.95</formula>
      <formula>1</formula>
    </cfRule>
    <cfRule type="cellIs" dxfId="5194" priority="5511" stopIfTrue="1" operator="between">
      <formula>0</formula>
      <formula>0.5</formula>
    </cfRule>
  </conditionalFormatting>
  <conditionalFormatting sqref="N148">
    <cfRule type="cellIs" dxfId="5193" priority="5502" operator="between">
      <formula>0.76</formula>
      <formula>0.95</formula>
    </cfRule>
    <cfRule type="cellIs" dxfId="5192" priority="5503" operator="between">
      <formula>0.51</formula>
      <formula>0.75</formula>
    </cfRule>
    <cfRule type="cellIs" dxfId="5191" priority="5504" operator="greaterThan">
      <formula>1</formula>
    </cfRule>
    <cfRule type="cellIs" dxfId="5190" priority="5505" operator="between">
      <formula>0.95</formula>
      <formula>1</formula>
    </cfRule>
    <cfRule type="cellIs" dxfId="5189" priority="5506" stopIfTrue="1" operator="between">
      <formula>0</formula>
      <formula>0.5</formula>
    </cfRule>
  </conditionalFormatting>
  <conditionalFormatting sqref="N149">
    <cfRule type="cellIs" dxfId="5188" priority="5497" operator="between">
      <formula>0.76</formula>
      <formula>0.95</formula>
    </cfRule>
    <cfRule type="cellIs" dxfId="5187" priority="5498" operator="between">
      <formula>0.51</formula>
      <formula>0.75</formula>
    </cfRule>
    <cfRule type="cellIs" dxfId="5186" priority="5499" operator="greaterThan">
      <formula>1</formula>
    </cfRule>
    <cfRule type="cellIs" dxfId="5185" priority="5500" operator="between">
      <formula>0.95</formula>
      <formula>1</formula>
    </cfRule>
    <cfRule type="cellIs" dxfId="5184" priority="5501" stopIfTrue="1" operator="between">
      <formula>0</formula>
      <formula>0.5</formula>
    </cfRule>
  </conditionalFormatting>
  <conditionalFormatting sqref="N150">
    <cfRule type="cellIs" dxfId="5183" priority="5492" operator="between">
      <formula>0.76</formula>
      <formula>0.95</formula>
    </cfRule>
    <cfRule type="cellIs" dxfId="5182" priority="5493" operator="between">
      <formula>0.51</formula>
      <formula>0.75</formula>
    </cfRule>
    <cfRule type="cellIs" dxfId="5181" priority="5494" operator="greaterThan">
      <formula>1</formula>
    </cfRule>
    <cfRule type="cellIs" dxfId="5180" priority="5495" operator="between">
      <formula>0.95</formula>
      <formula>1</formula>
    </cfRule>
    <cfRule type="cellIs" dxfId="5179" priority="5496" stopIfTrue="1" operator="between">
      <formula>0</formula>
      <formula>0.5</formula>
    </cfRule>
  </conditionalFormatting>
  <conditionalFormatting sqref="N151">
    <cfRule type="cellIs" dxfId="5178" priority="5487" operator="between">
      <formula>0.76</formula>
      <formula>0.95</formula>
    </cfRule>
    <cfRule type="cellIs" dxfId="5177" priority="5488" operator="between">
      <formula>0.51</formula>
      <formula>0.75</formula>
    </cfRule>
    <cfRule type="cellIs" dxfId="5176" priority="5489" operator="greaterThan">
      <formula>1</formula>
    </cfRule>
    <cfRule type="cellIs" dxfId="5175" priority="5490" operator="between">
      <formula>0.95</formula>
      <formula>1</formula>
    </cfRule>
    <cfRule type="cellIs" dxfId="5174" priority="5491" stopIfTrue="1" operator="between">
      <formula>0</formula>
      <formula>0.5</formula>
    </cfRule>
  </conditionalFormatting>
  <conditionalFormatting sqref="N152">
    <cfRule type="cellIs" dxfId="5173" priority="5482" operator="between">
      <formula>0.76</formula>
      <formula>0.95</formula>
    </cfRule>
    <cfRule type="cellIs" dxfId="5172" priority="5483" operator="between">
      <formula>0.51</formula>
      <formula>0.75</formula>
    </cfRule>
    <cfRule type="cellIs" dxfId="5171" priority="5484" operator="greaterThan">
      <formula>1</formula>
    </cfRule>
    <cfRule type="cellIs" dxfId="5170" priority="5485" operator="between">
      <formula>0.95</formula>
      <formula>1</formula>
    </cfRule>
    <cfRule type="cellIs" dxfId="5169" priority="5486" stopIfTrue="1" operator="between">
      <formula>0</formula>
      <formula>0.5</formula>
    </cfRule>
  </conditionalFormatting>
  <conditionalFormatting sqref="N153">
    <cfRule type="cellIs" dxfId="5168" priority="5477" operator="between">
      <formula>0.76</formula>
      <formula>0.95</formula>
    </cfRule>
    <cfRule type="cellIs" dxfId="5167" priority="5478" operator="between">
      <formula>0.51</formula>
      <formula>0.75</formula>
    </cfRule>
    <cfRule type="cellIs" dxfId="5166" priority="5479" operator="greaterThan">
      <formula>1</formula>
    </cfRule>
    <cfRule type="cellIs" dxfId="5165" priority="5480" operator="between">
      <formula>0.95</formula>
      <formula>1</formula>
    </cfRule>
    <cfRule type="cellIs" dxfId="5164" priority="5481" stopIfTrue="1" operator="between">
      <formula>0</formula>
      <formula>0.5</formula>
    </cfRule>
  </conditionalFormatting>
  <conditionalFormatting sqref="N154">
    <cfRule type="cellIs" dxfId="5163" priority="5472" operator="between">
      <formula>0.76</formula>
      <formula>0.95</formula>
    </cfRule>
    <cfRule type="cellIs" dxfId="5162" priority="5473" operator="between">
      <formula>0.51</formula>
      <formula>0.75</formula>
    </cfRule>
    <cfRule type="cellIs" dxfId="5161" priority="5474" operator="greaterThan">
      <formula>1</formula>
    </cfRule>
    <cfRule type="cellIs" dxfId="5160" priority="5475" operator="between">
      <formula>0.95</formula>
      <formula>1</formula>
    </cfRule>
    <cfRule type="cellIs" dxfId="5159" priority="5476" stopIfTrue="1" operator="between">
      <formula>0</formula>
      <formula>0.5</formula>
    </cfRule>
  </conditionalFormatting>
  <conditionalFormatting sqref="N155">
    <cfRule type="cellIs" dxfId="5158" priority="5467" operator="between">
      <formula>0.76</formula>
      <formula>0.95</formula>
    </cfRule>
    <cfRule type="cellIs" dxfId="5157" priority="5468" operator="between">
      <formula>0.51</formula>
      <formula>0.75</formula>
    </cfRule>
    <cfRule type="cellIs" dxfId="5156" priority="5469" operator="greaterThan">
      <formula>1</formula>
    </cfRule>
    <cfRule type="cellIs" dxfId="5155" priority="5470" operator="between">
      <formula>0.95</formula>
      <formula>1</formula>
    </cfRule>
    <cfRule type="cellIs" dxfId="5154" priority="5471" stopIfTrue="1" operator="between">
      <formula>0</formula>
      <formula>0.5</formula>
    </cfRule>
  </conditionalFormatting>
  <conditionalFormatting sqref="N156">
    <cfRule type="cellIs" dxfId="5153" priority="5462" operator="between">
      <formula>0.76</formula>
      <formula>0.95</formula>
    </cfRule>
    <cfRule type="cellIs" dxfId="5152" priority="5463" operator="between">
      <formula>0.51</formula>
      <formula>0.75</formula>
    </cfRule>
    <cfRule type="cellIs" dxfId="5151" priority="5464" operator="greaterThan">
      <formula>1</formula>
    </cfRule>
    <cfRule type="cellIs" dxfId="5150" priority="5465" operator="between">
      <formula>0.95</formula>
      <formula>1</formula>
    </cfRule>
    <cfRule type="cellIs" dxfId="5149" priority="5466" stopIfTrue="1" operator="between">
      <formula>0</formula>
      <formula>0.5</formula>
    </cfRule>
  </conditionalFormatting>
  <conditionalFormatting sqref="N157">
    <cfRule type="cellIs" dxfId="5148" priority="5457" operator="between">
      <formula>0.76</formula>
      <formula>0.95</formula>
    </cfRule>
    <cfRule type="cellIs" dxfId="5147" priority="5458" operator="between">
      <formula>0.51</formula>
      <formula>0.75</formula>
    </cfRule>
    <cfRule type="cellIs" dxfId="5146" priority="5459" operator="greaterThan">
      <formula>1</formula>
    </cfRule>
    <cfRule type="cellIs" dxfId="5145" priority="5460" operator="between">
      <formula>0.95</formula>
      <formula>1</formula>
    </cfRule>
    <cfRule type="cellIs" dxfId="5144" priority="5461" stopIfTrue="1" operator="between">
      <formula>0</formula>
      <formula>0.5</formula>
    </cfRule>
  </conditionalFormatting>
  <conditionalFormatting sqref="N158">
    <cfRule type="cellIs" dxfId="5143" priority="5452" operator="between">
      <formula>0.76</formula>
      <formula>0.95</formula>
    </cfRule>
    <cfRule type="cellIs" dxfId="5142" priority="5453" operator="between">
      <formula>0.51</formula>
      <formula>0.75</formula>
    </cfRule>
    <cfRule type="cellIs" dxfId="5141" priority="5454" operator="greaterThan">
      <formula>1</formula>
    </cfRule>
    <cfRule type="cellIs" dxfId="5140" priority="5455" operator="between">
      <formula>0.95</formula>
      <formula>1</formula>
    </cfRule>
    <cfRule type="cellIs" dxfId="5139" priority="5456" stopIfTrue="1" operator="between">
      <formula>0</formula>
      <formula>0.5</formula>
    </cfRule>
  </conditionalFormatting>
  <conditionalFormatting sqref="N159">
    <cfRule type="cellIs" dxfId="5138" priority="5447" operator="between">
      <formula>0.76</formula>
      <formula>0.95</formula>
    </cfRule>
    <cfRule type="cellIs" dxfId="5137" priority="5448" operator="between">
      <formula>0.51</formula>
      <formula>0.75</formula>
    </cfRule>
    <cfRule type="cellIs" dxfId="5136" priority="5449" operator="greaterThan">
      <formula>1</formula>
    </cfRule>
    <cfRule type="cellIs" dxfId="5135" priority="5450" operator="between">
      <formula>0.95</formula>
      <formula>1</formula>
    </cfRule>
    <cfRule type="cellIs" dxfId="5134" priority="5451" stopIfTrue="1" operator="between">
      <formula>0</formula>
      <formula>0.5</formula>
    </cfRule>
  </conditionalFormatting>
  <conditionalFormatting sqref="N160">
    <cfRule type="cellIs" dxfId="5133" priority="5442" operator="between">
      <formula>0.76</formula>
      <formula>0.95</formula>
    </cfRule>
    <cfRule type="cellIs" dxfId="5132" priority="5443" operator="between">
      <formula>0.51</formula>
      <formula>0.75</formula>
    </cfRule>
    <cfRule type="cellIs" dxfId="5131" priority="5444" operator="greaterThan">
      <formula>1</formula>
    </cfRule>
    <cfRule type="cellIs" dxfId="5130" priority="5445" operator="between">
      <formula>0.95</formula>
      <formula>1</formula>
    </cfRule>
    <cfRule type="cellIs" dxfId="5129" priority="5446" stopIfTrue="1" operator="between">
      <formula>0</formula>
      <formula>0.5</formula>
    </cfRule>
  </conditionalFormatting>
  <conditionalFormatting sqref="N161">
    <cfRule type="cellIs" dxfId="5128" priority="5437" operator="between">
      <formula>0.76</formula>
      <formula>0.95</formula>
    </cfRule>
    <cfRule type="cellIs" dxfId="5127" priority="5438" operator="between">
      <formula>0.51</formula>
      <formula>0.75</formula>
    </cfRule>
    <cfRule type="cellIs" dxfId="5126" priority="5439" operator="greaterThan">
      <formula>1</formula>
    </cfRule>
    <cfRule type="cellIs" dxfId="5125" priority="5440" operator="between">
      <formula>0.95</formula>
      <formula>1</formula>
    </cfRule>
    <cfRule type="cellIs" dxfId="5124" priority="5441" stopIfTrue="1" operator="between">
      <formula>0</formula>
      <formula>0.5</formula>
    </cfRule>
  </conditionalFormatting>
  <conditionalFormatting sqref="N162">
    <cfRule type="cellIs" dxfId="5123" priority="5432" operator="between">
      <formula>0.76</formula>
      <formula>0.95</formula>
    </cfRule>
    <cfRule type="cellIs" dxfId="5122" priority="5433" operator="between">
      <formula>0.51</formula>
      <formula>0.75</formula>
    </cfRule>
    <cfRule type="cellIs" dxfId="5121" priority="5434" operator="greaterThan">
      <formula>1</formula>
    </cfRule>
    <cfRule type="cellIs" dxfId="5120" priority="5435" operator="between">
      <formula>0.95</formula>
      <formula>1</formula>
    </cfRule>
    <cfRule type="cellIs" dxfId="5119" priority="5436" stopIfTrue="1" operator="between">
      <formula>0</formula>
      <formula>0.5</formula>
    </cfRule>
  </conditionalFormatting>
  <conditionalFormatting sqref="N163">
    <cfRule type="cellIs" dxfId="5118" priority="5427" operator="between">
      <formula>0.76</formula>
      <formula>0.95</formula>
    </cfRule>
    <cfRule type="cellIs" dxfId="5117" priority="5428" operator="between">
      <formula>0.51</formula>
      <formula>0.75</formula>
    </cfRule>
    <cfRule type="cellIs" dxfId="5116" priority="5429" operator="greaterThan">
      <formula>1</formula>
    </cfRule>
    <cfRule type="cellIs" dxfId="5115" priority="5430" operator="between">
      <formula>0.95</formula>
      <formula>1</formula>
    </cfRule>
    <cfRule type="cellIs" dxfId="5114" priority="5431" stopIfTrue="1" operator="between">
      <formula>0</formula>
      <formula>0.5</formula>
    </cfRule>
  </conditionalFormatting>
  <conditionalFormatting sqref="N164">
    <cfRule type="cellIs" dxfId="5113" priority="5422" operator="between">
      <formula>0.76</formula>
      <formula>0.95</formula>
    </cfRule>
    <cfRule type="cellIs" dxfId="5112" priority="5423" operator="between">
      <formula>0.51</formula>
      <formula>0.75</formula>
    </cfRule>
    <cfRule type="cellIs" dxfId="5111" priority="5424" operator="greaterThan">
      <formula>1</formula>
    </cfRule>
    <cfRule type="cellIs" dxfId="5110" priority="5425" operator="between">
      <formula>0.95</formula>
      <formula>1</formula>
    </cfRule>
    <cfRule type="cellIs" dxfId="5109" priority="5426" stopIfTrue="1" operator="between">
      <formula>0</formula>
      <formula>0.5</formula>
    </cfRule>
  </conditionalFormatting>
  <conditionalFormatting sqref="N165">
    <cfRule type="cellIs" dxfId="5108" priority="5417" operator="between">
      <formula>0.76</formula>
      <formula>0.95</formula>
    </cfRule>
    <cfRule type="cellIs" dxfId="5107" priority="5418" operator="between">
      <formula>0.51</formula>
      <formula>0.75</formula>
    </cfRule>
    <cfRule type="cellIs" dxfId="5106" priority="5419" operator="greaterThan">
      <formula>1</formula>
    </cfRule>
    <cfRule type="cellIs" dxfId="5105" priority="5420" operator="between">
      <formula>0.95</formula>
      <formula>1</formula>
    </cfRule>
    <cfRule type="cellIs" dxfId="5104" priority="5421" stopIfTrue="1" operator="between">
      <formula>0</formula>
      <formula>0.5</formula>
    </cfRule>
  </conditionalFormatting>
  <conditionalFormatting sqref="N166">
    <cfRule type="cellIs" dxfId="5103" priority="5412" operator="between">
      <formula>0.76</formula>
      <formula>0.95</formula>
    </cfRule>
    <cfRule type="cellIs" dxfId="5102" priority="5413" operator="between">
      <formula>0.51</formula>
      <formula>0.75</formula>
    </cfRule>
    <cfRule type="cellIs" dxfId="5101" priority="5414" operator="greaterThan">
      <formula>1</formula>
    </cfRule>
    <cfRule type="cellIs" dxfId="5100" priority="5415" operator="between">
      <formula>0.95</formula>
      <formula>1</formula>
    </cfRule>
    <cfRule type="cellIs" dxfId="5099" priority="5416" stopIfTrue="1" operator="between">
      <formula>0</formula>
      <formula>0.5</formula>
    </cfRule>
  </conditionalFormatting>
  <conditionalFormatting sqref="N167">
    <cfRule type="cellIs" dxfId="5098" priority="5407" operator="between">
      <formula>0.76</formula>
      <formula>0.95</formula>
    </cfRule>
    <cfRule type="cellIs" dxfId="5097" priority="5408" operator="between">
      <formula>0.51</formula>
      <formula>0.75</formula>
    </cfRule>
    <cfRule type="cellIs" dxfId="5096" priority="5409" operator="greaterThan">
      <formula>1</formula>
    </cfRule>
    <cfRule type="cellIs" dxfId="5095" priority="5410" operator="between">
      <formula>0.95</formula>
      <formula>1</formula>
    </cfRule>
    <cfRule type="cellIs" dxfId="5094" priority="5411" stopIfTrue="1" operator="between">
      <formula>0</formula>
      <formula>0.5</formula>
    </cfRule>
  </conditionalFormatting>
  <conditionalFormatting sqref="N168">
    <cfRule type="cellIs" dxfId="5093" priority="5402" operator="between">
      <formula>0.76</formula>
      <formula>0.95</formula>
    </cfRule>
    <cfRule type="cellIs" dxfId="5092" priority="5403" operator="between">
      <formula>0.51</formula>
      <formula>0.75</formula>
    </cfRule>
    <cfRule type="cellIs" dxfId="5091" priority="5404" operator="greaterThan">
      <formula>1</formula>
    </cfRule>
    <cfRule type="cellIs" dxfId="5090" priority="5405" operator="between">
      <formula>0.95</formula>
      <formula>1</formula>
    </cfRule>
    <cfRule type="cellIs" dxfId="5089" priority="5406" stopIfTrue="1" operator="between">
      <formula>0</formula>
      <formula>0.5</formula>
    </cfRule>
  </conditionalFormatting>
  <conditionalFormatting sqref="N169">
    <cfRule type="cellIs" dxfId="5088" priority="5397" operator="between">
      <formula>0.76</formula>
      <formula>0.95</formula>
    </cfRule>
    <cfRule type="cellIs" dxfId="5087" priority="5398" operator="between">
      <formula>0.51</formula>
      <formula>0.75</formula>
    </cfRule>
    <cfRule type="cellIs" dxfId="5086" priority="5399" operator="greaterThan">
      <formula>1</formula>
    </cfRule>
    <cfRule type="cellIs" dxfId="5085" priority="5400" operator="between">
      <formula>0.95</formula>
      <formula>1</formula>
    </cfRule>
    <cfRule type="cellIs" dxfId="5084" priority="5401" stopIfTrue="1" operator="between">
      <formula>0</formula>
      <formula>0.5</formula>
    </cfRule>
  </conditionalFormatting>
  <conditionalFormatting sqref="N170">
    <cfRule type="cellIs" dxfId="5083" priority="5392" operator="between">
      <formula>0.76</formula>
      <formula>0.95</formula>
    </cfRule>
    <cfRule type="cellIs" dxfId="5082" priority="5393" operator="between">
      <formula>0.51</formula>
      <formula>0.75</formula>
    </cfRule>
    <cfRule type="cellIs" dxfId="5081" priority="5394" operator="greaterThan">
      <formula>1</formula>
    </cfRule>
    <cfRule type="cellIs" dxfId="5080" priority="5395" operator="between">
      <formula>0.95</formula>
      <formula>1</formula>
    </cfRule>
    <cfRule type="cellIs" dxfId="5079" priority="5396" stopIfTrue="1" operator="between">
      <formula>0</formula>
      <formula>0.5</formula>
    </cfRule>
  </conditionalFormatting>
  <conditionalFormatting sqref="N171">
    <cfRule type="cellIs" dxfId="5078" priority="5387" operator="between">
      <formula>0.76</formula>
      <formula>0.95</formula>
    </cfRule>
    <cfRule type="cellIs" dxfId="5077" priority="5388" operator="between">
      <formula>0.51</formula>
      <formula>0.75</formula>
    </cfRule>
    <cfRule type="cellIs" dxfId="5076" priority="5389" operator="greaterThan">
      <formula>1</formula>
    </cfRule>
    <cfRule type="cellIs" dxfId="5075" priority="5390" operator="between">
      <formula>0.95</formula>
      <formula>1</formula>
    </cfRule>
    <cfRule type="cellIs" dxfId="5074" priority="5391" stopIfTrue="1" operator="between">
      <formula>0</formula>
      <formula>0.5</formula>
    </cfRule>
  </conditionalFormatting>
  <conditionalFormatting sqref="N172">
    <cfRule type="cellIs" dxfId="5073" priority="5382" operator="between">
      <formula>0.76</formula>
      <formula>0.95</formula>
    </cfRule>
    <cfRule type="cellIs" dxfId="5072" priority="5383" operator="between">
      <formula>0.51</formula>
      <formula>0.75</formula>
    </cfRule>
    <cfRule type="cellIs" dxfId="5071" priority="5384" operator="greaterThan">
      <formula>1</formula>
    </cfRule>
    <cfRule type="cellIs" dxfId="5070" priority="5385" operator="between">
      <formula>0.95</formula>
      <formula>1</formula>
    </cfRule>
    <cfRule type="cellIs" dxfId="5069" priority="5386" stopIfTrue="1" operator="between">
      <formula>0</formula>
      <formula>0.5</formula>
    </cfRule>
  </conditionalFormatting>
  <conditionalFormatting sqref="N173">
    <cfRule type="cellIs" dxfId="5068" priority="5377" operator="between">
      <formula>0.76</formula>
      <formula>0.95</formula>
    </cfRule>
    <cfRule type="cellIs" dxfId="5067" priority="5378" operator="between">
      <formula>0.51</formula>
      <formula>0.75</formula>
    </cfRule>
    <cfRule type="cellIs" dxfId="5066" priority="5379" operator="greaterThan">
      <formula>1</formula>
    </cfRule>
    <cfRule type="cellIs" dxfId="5065" priority="5380" operator="between">
      <formula>0.95</formula>
      <formula>1</formula>
    </cfRule>
    <cfRule type="cellIs" dxfId="5064" priority="5381" stopIfTrue="1" operator="between">
      <formula>0</formula>
      <formula>0.5</formula>
    </cfRule>
  </conditionalFormatting>
  <conditionalFormatting sqref="N174">
    <cfRule type="cellIs" dxfId="5063" priority="5372" operator="between">
      <formula>0.76</formula>
      <formula>0.95</formula>
    </cfRule>
    <cfRule type="cellIs" dxfId="5062" priority="5373" operator="between">
      <formula>0.51</formula>
      <formula>0.75</formula>
    </cfRule>
    <cfRule type="cellIs" dxfId="5061" priority="5374" operator="greaterThan">
      <formula>1</formula>
    </cfRule>
    <cfRule type="cellIs" dxfId="5060" priority="5375" operator="between">
      <formula>0.95</formula>
      <formula>1</formula>
    </cfRule>
    <cfRule type="cellIs" dxfId="5059" priority="5376" stopIfTrue="1" operator="between">
      <formula>0</formula>
      <formula>0.5</formula>
    </cfRule>
  </conditionalFormatting>
  <conditionalFormatting sqref="N175">
    <cfRule type="cellIs" dxfId="5058" priority="5367" operator="between">
      <formula>0.76</formula>
      <formula>0.95</formula>
    </cfRule>
    <cfRule type="cellIs" dxfId="5057" priority="5368" operator="between">
      <formula>0.51</formula>
      <formula>0.75</formula>
    </cfRule>
    <cfRule type="cellIs" dxfId="5056" priority="5369" operator="greaterThan">
      <formula>1</formula>
    </cfRule>
    <cfRule type="cellIs" dxfId="5055" priority="5370" operator="between">
      <formula>0.95</formula>
      <formula>1</formula>
    </cfRule>
    <cfRule type="cellIs" dxfId="5054" priority="5371" stopIfTrue="1" operator="between">
      <formula>0</formula>
      <formula>0.5</formula>
    </cfRule>
  </conditionalFormatting>
  <conditionalFormatting sqref="N176">
    <cfRule type="cellIs" dxfId="5053" priority="5362" operator="between">
      <formula>0.76</formula>
      <formula>0.95</formula>
    </cfRule>
    <cfRule type="cellIs" dxfId="5052" priority="5363" operator="between">
      <formula>0.51</formula>
      <formula>0.75</formula>
    </cfRule>
    <cfRule type="cellIs" dxfId="5051" priority="5364" operator="greaterThan">
      <formula>1</formula>
    </cfRule>
    <cfRule type="cellIs" dxfId="5050" priority="5365" operator="between">
      <formula>0.95</formula>
      <formula>1</formula>
    </cfRule>
    <cfRule type="cellIs" dxfId="5049" priority="5366" stopIfTrue="1" operator="between">
      <formula>0</formula>
      <formula>0.5</formula>
    </cfRule>
  </conditionalFormatting>
  <conditionalFormatting sqref="N177">
    <cfRule type="cellIs" dxfId="5048" priority="5357" operator="between">
      <formula>0.76</formula>
      <formula>0.95</formula>
    </cfRule>
    <cfRule type="cellIs" dxfId="5047" priority="5358" operator="between">
      <formula>0.51</formula>
      <formula>0.75</formula>
    </cfRule>
    <cfRule type="cellIs" dxfId="5046" priority="5359" operator="greaterThan">
      <formula>1</formula>
    </cfRule>
    <cfRule type="cellIs" dxfId="5045" priority="5360" operator="between">
      <formula>0.95</formula>
      <formula>1</formula>
    </cfRule>
    <cfRule type="cellIs" dxfId="5044" priority="5361" stopIfTrue="1" operator="between">
      <formula>0</formula>
      <formula>0.5</formula>
    </cfRule>
  </conditionalFormatting>
  <conditionalFormatting sqref="N178">
    <cfRule type="cellIs" dxfId="5043" priority="5352" operator="between">
      <formula>0.76</formula>
      <formula>0.95</formula>
    </cfRule>
    <cfRule type="cellIs" dxfId="5042" priority="5353" operator="between">
      <formula>0.51</formula>
      <formula>0.75</formula>
    </cfRule>
    <cfRule type="cellIs" dxfId="5041" priority="5354" operator="greaterThan">
      <formula>1</formula>
    </cfRule>
    <cfRule type="cellIs" dxfId="5040" priority="5355" operator="between">
      <formula>0.95</formula>
      <formula>1</formula>
    </cfRule>
    <cfRule type="cellIs" dxfId="5039" priority="5356" stopIfTrue="1" operator="between">
      <formula>0</formula>
      <formula>0.5</formula>
    </cfRule>
  </conditionalFormatting>
  <conditionalFormatting sqref="N179">
    <cfRule type="cellIs" dxfId="5038" priority="5347" operator="between">
      <formula>0.76</formula>
      <formula>0.95</formula>
    </cfRule>
    <cfRule type="cellIs" dxfId="5037" priority="5348" operator="between">
      <formula>0.51</formula>
      <formula>0.75</formula>
    </cfRule>
    <cfRule type="cellIs" dxfId="5036" priority="5349" operator="greaterThan">
      <formula>1</formula>
    </cfRule>
    <cfRule type="cellIs" dxfId="5035" priority="5350" operator="between">
      <formula>0.95</formula>
      <formula>1</formula>
    </cfRule>
    <cfRule type="cellIs" dxfId="5034" priority="5351" stopIfTrue="1" operator="between">
      <formula>0</formula>
      <formula>0.5</formula>
    </cfRule>
  </conditionalFormatting>
  <conditionalFormatting sqref="N180">
    <cfRule type="cellIs" dxfId="5033" priority="5342" operator="between">
      <formula>0.76</formula>
      <formula>0.95</formula>
    </cfRule>
    <cfRule type="cellIs" dxfId="5032" priority="5343" operator="between">
      <formula>0.51</formula>
      <formula>0.75</formula>
    </cfRule>
    <cfRule type="cellIs" dxfId="5031" priority="5344" operator="greaterThan">
      <formula>1</formula>
    </cfRule>
    <cfRule type="cellIs" dxfId="5030" priority="5345" operator="between">
      <formula>0.95</formula>
      <formula>1</formula>
    </cfRule>
    <cfRule type="cellIs" dxfId="5029" priority="5346" stopIfTrue="1" operator="between">
      <formula>0</formula>
      <formula>0.5</formula>
    </cfRule>
  </conditionalFormatting>
  <conditionalFormatting sqref="N181">
    <cfRule type="cellIs" dxfId="5028" priority="5337" operator="between">
      <formula>0.76</formula>
      <formula>0.95</formula>
    </cfRule>
    <cfRule type="cellIs" dxfId="5027" priority="5338" operator="between">
      <formula>0.51</formula>
      <formula>0.75</formula>
    </cfRule>
    <cfRule type="cellIs" dxfId="5026" priority="5339" operator="greaterThan">
      <formula>1</formula>
    </cfRule>
    <cfRule type="cellIs" dxfId="5025" priority="5340" operator="between">
      <formula>0.95</formula>
      <formula>1</formula>
    </cfRule>
    <cfRule type="cellIs" dxfId="5024" priority="5341" stopIfTrue="1" operator="between">
      <formula>0</formula>
      <formula>0.5</formula>
    </cfRule>
  </conditionalFormatting>
  <conditionalFormatting sqref="N182">
    <cfRule type="cellIs" dxfId="5023" priority="5332" operator="between">
      <formula>0.76</formula>
      <formula>0.95</formula>
    </cfRule>
    <cfRule type="cellIs" dxfId="5022" priority="5333" operator="between">
      <formula>0.51</formula>
      <formula>0.75</formula>
    </cfRule>
    <cfRule type="cellIs" dxfId="5021" priority="5334" operator="greaterThan">
      <formula>1</formula>
    </cfRule>
    <cfRule type="cellIs" dxfId="5020" priority="5335" operator="between">
      <formula>0.95</formula>
      <formula>1</formula>
    </cfRule>
    <cfRule type="cellIs" dxfId="5019" priority="5336" stopIfTrue="1" operator="between">
      <formula>0</formula>
      <formula>0.5</formula>
    </cfRule>
  </conditionalFormatting>
  <conditionalFormatting sqref="N183">
    <cfRule type="cellIs" dxfId="5018" priority="5327" operator="between">
      <formula>0.76</formula>
      <formula>0.95</formula>
    </cfRule>
    <cfRule type="cellIs" dxfId="5017" priority="5328" operator="between">
      <formula>0.51</formula>
      <formula>0.75</formula>
    </cfRule>
    <cfRule type="cellIs" dxfId="5016" priority="5329" operator="greaterThan">
      <formula>1</formula>
    </cfRule>
    <cfRule type="cellIs" dxfId="5015" priority="5330" operator="between">
      <formula>0.95</formula>
      <formula>1</formula>
    </cfRule>
    <cfRule type="cellIs" dxfId="5014" priority="5331" stopIfTrue="1" operator="between">
      <formula>0</formula>
      <formula>0.5</formula>
    </cfRule>
  </conditionalFormatting>
  <conditionalFormatting sqref="N184">
    <cfRule type="cellIs" dxfId="5013" priority="5322" operator="between">
      <formula>0.76</formula>
      <formula>0.95</formula>
    </cfRule>
    <cfRule type="cellIs" dxfId="5012" priority="5323" operator="between">
      <formula>0.51</formula>
      <formula>0.75</formula>
    </cfRule>
    <cfRule type="cellIs" dxfId="5011" priority="5324" operator="greaterThan">
      <formula>1</formula>
    </cfRule>
    <cfRule type="cellIs" dxfId="5010" priority="5325" operator="between">
      <formula>0.95</formula>
      <formula>1</formula>
    </cfRule>
    <cfRule type="cellIs" dxfId="5009" priority="5326" stopIfTrue="1" operator="between">
      <formula>0</formula>
      <formula>0.5</formula>
    </cfRule>
  </conditionalFormatting>
  <conditionalFormatting sqref="N185">
    <cfRule type="cellIs" dxfId="5008" priority="5317" operator="between">
      <formula>0.76</formula>
      <formula>0.95</formula>
    </cfRule>
    <cfRule type="cellIs" dxfId="5007" priority="5318" operator="between">
      <formula>0.51</formula>
      <formula>0.75</formula>
    </cfRule>
    <cfRule type="cellIs" dxfId="5006" priority="5319" operator="greaterThan">
      <formula>1</formula>
    </cfRule>
    <cfRule type="cellIs" dxfId="5005" priority="5320" operator="between">
      <formula>0.95</formula>
      <formula>1</formula>
    </cfRule>
    <cfRule type="cellIs" dxfId="5004" priority="5321" stopIfTrue="1" operator="between">
      <formula>0</formula>
      <formula>0.5</formula>
    </cfRule>
  </conditionalFormatting>
  <conditionalFormatting sqref="N186">
    <cfRule type="cellIs" dxfId="5003" priority="5312" operator="between">
      <formula>0.76</formula>
      <formula>0.95</formula>
    </cfRule>
    <cfRule type="cellIs" dxfId="5002" priority="5313" operator="between">
      <formula>0.51</formula>
      <formula>0.75</formula>
    </cfRule>
    <cfRule type="cellIs" dxfId="5001" priority="5314" operator="greaterThan">
      <formula>1</formula>
    </cfRule>
    <cfRule type="cellIs" dxfId="5000" priority="5315" operator="between">
      <formula>0.95</formula>
      <formula>1</formula>
    </cfRule>
    <cfRule type="cellIs" dxfId="4999" priority="5316" stopIfTrue="1" operator="between">
      <formula>0</formula>
      <formula>0.5</formula>
    </cfRule>
  </conditionalFormatting>
  <conditionalFormatting sqref="N187">
    <cfRule type="cellIs" dxfId="4998" priority="5307" operator="between">
      <formula>0.76</formula>
      <formula>0.95</formula>
    </cfRule>
    <cfRule type="cellIs" dxfId="4997" priority="5308" operator="between">
      <formula>0.51</formula>
      <formula>0.75</formula>
    </cfRule>
    <cfRule type="cellIs" dxfId="4996" priority="5309" operator="greaterThan">
      <formula>1</formula>
    </cfRule>
    <cfRule type="cellIs" dxfId="4995" priority="5310" operator="between">
      <formula>0.95</formula>
      <formula>1</formula>
    </cfRule>
    <cfRule type="cellIs" dxfId="4994" priority="5311" stopIfTrue="1" operator="between">
      <formula>0</formula>
      <formula>0.5</formula>
    </cfRule>
  </conditionalFormatting>
  <conditionalFormatting sqref="N188">
    <cfRule type="cellIs" dxfId="4993" priority="5302" operator="between">
      <formula>0.76</formula>
      <formula>0.95</formula>
    </cfRule>
    <cfRule type="cellIs" dxfId="4992" priority="5303" operator="between">
      <formula>0.51</formula>
      <formula>0.75</formula>
    </cfRule>
    <cfRule type="cellIs" dxfId="4991" priority="5304" operator="greaterThan">
      <formula>1</formula>
    </cfRule>
    <cfRule type="cellIs" dxfId="4990" priority="5305" operator="between">
      <formula>0.95</formula>
      <formula>1</formula>
    </cfRule>
    <cfRule type="cellIs" dxfId="4989" priority="5306" stopIfTrue="1" operator="between">
      <formula>0</formula>
      <formula>0.5</formula>
    </cfRule>
  </conditionalFormatting>
  <conditionalFormatting sqref="N189">
    <cfRule type="cellIs" dxfId="4988" priority="5297" operator="between">
      <formula>0.76</formula>
      <formula>0.95</formula>
    </cfRule>
    <cfRule type="cellIs" dxfId="4987" priority="5298" operator="between">
      <formula>0.51</formula>
      <formula>0.75</formula>
    </cfRule>
    <cfRule type="cellIs" dxfId="4986" priority="5299" operator="greaterThan">
      <formula>1</formula>
    </cfRule>
    <cfRule type="cellIs" dxfId="4985" priority="5300" operator="between">
      <formula>0.95</formula>
      <formula>1</formula>
    </cfRule>
    <cfRule type="cellIs" dxfId="4984" priority="5301" stopIfTrue="1" operator="between">
      <formula>0</formula>
      <formula>0.5</formula>
    </cfRule>
  </conditionalFormatting>
  <conditionalFormatting sqref="N190">
    <cfRule type="cellIs" dxfId="4983" priority="5292" operator="between">
      <formula>0.76</formula>
      <formula>0.95</formula>
    </cfRule>
    <cfRule type="cellIs" dxfId="4982" priority="5293" operator="between">
      <formula>0.51</formula>
      <formula>0.75</formula>
    </cfRule>
    <cfRule type="cellIs" dxfId="4981" priority="5294" operator="greaterThan">
      <formula>1</formula>
    </cfRule>
    <cfRule type="cellIs" dxfId="4980" priority="5295" operator="between">
      <formula>0.95</formula>
      <formula>1</formula>
    </cfRule>
    <cfRule type="cellIs" dxfId="4979" priority="5296" stopIfTrue="1" operator="between">
      <formula>0</formula>
      <formula>0.5</formula>
    </cfRule>
  </conditionalFormatting>
  <conditionalFormatting sqref="N191">
    <cfRule type="cellIs" dxfId="4978" priority="5287" operator="between">
      <formula>0.76</formula>
      <formula>0.95</formula>
    </cfRule>
    <cfRule type="cellIs" dxfId="4977" priority="5288" operator="between">
      <formula>0.51</formula>
      <formula>0.75</formula>
    </cfRule>
    <cfRule type="cellIs" dxfId="4976" priority="5289" operator="greaterThan">
      <formula>1</formula>
    </cfRule>
    <cfRule type="cellIs" dxfId="4975" priority="5290" operator="between">
      <formula>0.95</formula>
      <formula>1</formula>
    </cfRule>
    <cfRule type="cellIs" dxfId="4974" priority="5291" stopIfTrue="1" operator="between">
      <formula>0</formula>
      <formula>0.5</formula>
    </cfRule>
  </conditionalFormatting>
  <conditionalFormatting sqref="N192">
    <cfRule type="cellIs" dxfId="4973" priority="5282" operator="between">
      <formula>0.76</formula>
      <formula>0.95</formula>
    </cfRule>
    <cfRule type="cellIs" dxfId="4972" priority="5283" operator="between">
      <formula>0.51</formula>
      <formula>0.75</formula>
    </cfRule>
    <cfRule type="cellIs" dxfId="4971" priority="5284" operator="greaterThan">
      <formula>1</formula>
    </cfRule>
    <cfRule type="cellIs" dxfId="4970" priority="5285" operator="between">
      <formula>0.95</formula>
      <formula>1</formula>
    </cfRule>
    <cfRule type="cellIs" dxfId="4969" priority="5286" stopIfTrue="1" operator="between">
      <formula>0</formula>
      <formula>0.5</formula>
    </cfRule>
  </conditionalFormatting>
  <conditionalFormatting sqref="N193">
    <cfRule type="cellIs" dxfId="4968" priority="5277" operator="between">
      <formula>0.76</formula>
      <formula>0.95</formula>
    </cfRule>
    <cfRule type="cellIs" dxfId="4967" priority="5278" operator="between">
      <formula>0.51</formula>
      <formula>0.75</formula>
    </cfRule>
    <cfRule type="cellIs" dxfId="4966" priority="5279" operator="greaterThan">
      <formula>1</formula>
    </cfRule>
    <cfRule type="cellIs" dxfId="4965" priority="5280" operator="between">
      <formula>0.95</formula>
      <formula>1</formula>
    </cfRule>
    <cfRule type="cellIs" dxfId="4964" priority="5281" stopIfTrue="1" operator="between">
      <formula>0</formula>
      <formula>0.5</formula>
    </cfRule>
  </conditionalFormatting>
  <conditionalFormatting sqref="N194">
    <cfRule type="cellIs" dxfId="4963" priority="5272" operator="between">
      <formula>0.76</formula>
      <formula>0.95</formula>
    </cfRule>
    <cfRule type="cellIs" dxfId="4962" priority="5273" operator="between">
      <formula>0.51</formula>
      <formula>0.75</formula>
    </cfRule>
    <cfRule type="cellIs" dxfId="4961" priority="5274" operator="greaterThan">
      <formula>1</formula>
    </cfRule>
    <cfRule type="cellIs" dxfId="4960" priority="5275" operator="between">
      <formula>0.95</formula>
      <formula>1</formula>
    </cfRule>
    <cfRule type="cellIs" dxfId="4959" priority="5276" stopIfTrue="1" operator="between">
      <formula>0</formula>
      <formula>0.5</formula>
    </cfRule>
  </conditionalFormatting>
  <conditionalFormatting sqref="N195">
    <cfRule type="cellIs" dxfId="4958" priority="5267" operator="between">
      <formula>0.76</formula>
      <formula>0.95</formula>
    </cfRule>
    <cfRule type="cellIs" dxfId="4957" priority="5268" operator="between">
      <formula>0.51</formula>
      <formula>0.75</formula>
    </cfRule>
    <cfRule type="cellIs" dxfId="4956" priority="5269" operator="greaterThan">
      <formula>1</formula>
    </cfRule>
    <cfRule type="cellIs" dxfId="4955" priority="5270" operator="between">
      <formula>0.95</formula>
      <formula>1</formula>
    </cfRule>
    <cfRule type="cellIs" dxfId="4954" priority="5271" stopIfTrue="1" operator="between">
      <formula>0</formula>
      <formula>0.5</formula>
    </cfRule>
  </conditionalFormatting>
  <conditionalFormatting sqref="N196">
    <cfRule type="cellIs" dxfId="4953" priority="5262" operator="between">
      <formula>0.76</formula>
      <formula>0.95</formula>
    </cfRule>
    <cfRule type="cellIs" dxfId="4952" priority="5263" operator="between">
      <formula>0.51</formula>
      <formula>0.75</formula>
    </cfRule>
    <cfRule type="cellIs" dxfId="4951" priority="5264" operator="greaterThan">
      <formula>1</formula>
    </cfRule>
    <cfRule type="cellIs" dxfId="4950" priority="5265" operator="between">
      <formula>0.95</formula>
      <formula>1</formula>
    </cfRule>
    <cfRule type="cellIs" dxfId="4949" priority="5266" stopIfTrue="1" operator="between">
      <formula>0</formula>
      <formula>0.5</formula>
    </cfRule>
  </conditionalFormatting>
  <conditionalFormatting sqref="N197">
    <cfRule type="cellIs" dxfId="4948" priority="5257" operator="between">
      <formula>0.76</formula>
      <formula>0.95</formula>
    </cfRule>
    <cfRule type="cellIs" dxfId="4947" priority="5258" operator="between">
      <formula>0.51</formula>
      <formula>0.75</formula>
    </cfRule>
    <cfRule type="cellIs" dxfId="4946" priority="5259" operator="greaterThan">
      <formula>1</formula>
    </cfRule>
    <cfRule type="cellIs" dxfId="4945" priority="5260" operator="between">
      <formula>0.95</formula>
      <formula>1</formula>
    </cfRule>
    <cfRule type="cellIs" dxfId="4944" priority="5261" stopIfTrue="1" operator="between">
      <formula>0</formula>
      <formula>0.5</formula>
    </cfRule>
  </conditionalFormatting>
  <conditionalFormatting sqref="N198">
    <cfRule type="cellIs" dxfId="4943" priority="5252" operator="between">
      <formula>0.76</formula>
      <formula>0.95</formula>
    </cfRule>
    <cfRule type="cellIs" dxfId="4942" priority="5253" operator="between">
      <formula>0.51</formula>
      <formula>0.75</formula>
    </cfRule>
    <cfRule type="cellIs" dxfId="4941" priority="5254" operator="greaterThan">
      <formula>1</formula>
    </cfRule>
    <cfRule type="cellIs" dxfId="4940" priority="5255" operator="between">
      <formula>0.95</formula>
      <formula>1</formula>
    </cfRule>
    <cfRule type="cellIs" dxfId="4939" priority="5256" stopIfTrue="1" operator="between">
      <formula>0</formula>
      <formula>0.5</formula>
    </cfRule>
  </conditionalFormatting>
  <conditionalFormatting sqref="N199">
    <cfRule type="cellIs" dxfId="4938" priority="5247" operator="between">
      <formula>0.76</formula>
      <formula>0.95</formula>
    </cfRule>
    <cfRule type="cellIs" dxfId="4937" priority="5248" operator="between">
      <formula>0.51</formula>
      <formula>0.75</formula>
    </cfRule>
    <cfRule type="cellIs" dxfId="4936" priority="5249" operator="greaterThan">
      <formula>1</formula>
    </cfRule>
    <cfRule type="cellIs" dxfId="4935" priority="5250" operator="between">
      <formula>0.95</formula>
      <formula>1</formula>
    </cfRule>
    <cfRule type="cellIs" dxfId="4934" priority="5251" stopIfTrue="1" operator="between">
      <formula>0</formula>
      <formula>0.5</formula>
    </cfRule>
  </conditionalFormatting>
  <conditionalFormatting sqref="N200">
    <cfRule type="cellIs" dxfId="4933" priority="5242" operator="between">
      <formula>0.76</formula>
      <formula>0.95</formula>
    </cfRule>
    <cfRule type="cellIs" dxfId="4932" priority="5243" operator="between">
      <formula>0.51</formula>
      <formula>0.75</formula>
    </cfRule>
    <cfRule type="cellIs" dxfId="4931" priority="5244" operator="greaterThan">
      <formula>1</formula>
    </cfRule>
    <cfRule type="cellIs" dxfId="4930" priority="5245" operator="between">
      <formula>0.95</formula>
      <formula>1</formula>
    </cfRule>
    <cfRule type="cellIs" dxfId="4929" priority="5246" stopIfTrue="1" operator="between">
      <formula>0</formula>
      <formula>0.5</formula>
    </cfRule>
  </conditionalFormatting>
  <conditionalFormatting sqref="N201">
    <cfRule type="cellIs" dxfId="4928" priority="5237" operator="between">
      <formula>0.76</formula>
      <formula>0.95</formula>
    </cfRule>
    <cfRule type="cellIs" dxfId="4927" priority="5238" operator="between">
      <formula>0.51</formula>
      <formula>0.75</formula>
    </cfRule>
    <cfRule type="cellIs" dxfId="4926" priority="5239" operator="greaterThan">
      <formula>1</formula>
    </cfRule>
    <cfRule type="cellIs" dxfId="4925" priority="5240" operator="between">
      <formula>0.95</formula>
      <formula>1</formula>
    </cfRule>
    <cfRule type="cellIs" dxfId="4924" priority="5241" stopIfTrue="1" operator="between">
      <formula>0</formula>
      <formula>0.5</formula>
    </cfRule>
  </conditionalFormatting>
  <conditionalFormatting sqref="N203">
    <cfRule type="cellIs" dxfId="4923" priority="5232" operator="between">
      <formula>0.76</formula>
      <formula>0.95</formula>
    </cfRule>
    <cfRule type="cellIs" dxfId="4922" priority="5233" operator="between">
      <formula>0.51</formula>
      <formula>0.75</formula>
    </cfRule>
    <cfRule type="cellIs" dxfId="4921" priority="5234" operator="greaterThan">
      <formula>1</formula>
    </cfRule>
    <cfRule type="cellIs" dxfId="4920" priority="5235" operator="between">
      <formula>0.95</formula>
      <formula>1</formula>
    </cfRule>
    <cfRule type="cellIs" dxfId="4919" priority="5236" stopIfTrue="1" operator="between">
      <formula>0</formula>
      <formula>0.5</formula>
    </cfRule>
  </conditionalFormatting>
  <conditionalFormatting sqref="N202">
    <cfRule type="cellIs" dxfId="4918" priority="5227" operator="between">
      <formula>0.76</formula>
      <formula>0.95</formula>
    </cfRule>
    <cfRule type="cellIs" dxfId="4917" priority="5228" operator="between">
      <formula>0.51</formula>
      <formula>0.75</formula>
    </cfRule>
    <cfRule type="cellIs" dxfId="4916" priority="5229" operator="greaterThan">
      <formula>1</formula>
    </cfRule>
    <cfRule type="cellIs" dxfId="4915" priority="5230" operator="between">
      <formula>0.95</formula>
      <formula>1</formula>
    </cfRule>
    <cfRule type="cellIs" dxfId="4914" priority="5231" stopIfTrue="1" operator="between">
      <formula>0</formula>
      <formula>0.5</formula>
    </cfRule>
  </conditionalFormatting>
  <conditionalFormatting sqref="N204">
    <cfRule type="cellIs" dxfId="4913" priority="5222" operator="between">
      <formula>0.76</formula>
      <formula>0.95</formula>
    </cfRule>
    <cfRule type="cellIs" dxfId="4912" priority="5223" operator="between">
      <formula>0.51</formula>
      <formula>0.75</formula>
    </cfRule>
    <cfRule type="cellIs" dxfId="4911" priority="5224" operator="greaterThan">
      <formula>1</formula>
    </cfRule>
    <cfRule type="cellIs" dxfId="4910" priority="5225" operator="between">
      <formula>0.95</formula>
      <formula>1</formula>
    </cfRule>
    <cfRule type="cellIs" dxfId="4909" priority="5226" stopIfTrue="1" operator="between">
      <formula>0</formula>
      <formula>0.5</formula>
    </cfRule>
  </conditionalFormatting>
  <conditionalFormatting sqref="N205">
    <cfRule type="cellIs" dxfId="4908" priority="5217" operator="between">
      <formula>0.76</formula>
      <formula>0.95</formula>
    </cfRule>
    <cfRule type="cellIs" dxfId="4907" priority="5218" operator="between">
      <formula>0.51</formula>
      <formula>0.75</formula>
    </cfRule>
    <cfRule type="cellIs" dxfId="4906" priority="5219" operator="greaterThan">
      <formula>1</formula>
    </cfRule>
    <cfRule type="cellIs" dxfId="4905" priority="5220" operator="between">
      <formula>0.95</formula>
      <formula>1</formula>
    </cfRule>
    <cfRule type="cellIs" dxfId="4904" priority="5221" stopIfTrue="1" operator="between">
      <formula>0</formula>
      <formula>0.5</formula>
    </cfRule>
  </conditionalFormatting>
  <conditionalFormatting sqref="N207">
    <cfRule type="cellIs" dxfId="4903" priority="5212" operator="between">
      <formula>0.76</formula>
      <formula>0.95</formula>
    </cfRule>
    <cfRule type="cellIs" dxfId="4902" priority="5213" operator="between">
      <formula>0.51</formula>
      <formula>0.75</formula>
    </cfRule>
    <cfRule type="cellIs" dxfId="4901" priority="5214" operator="greaterThan">
      <formula>1</formula>
    </cfRule>
    <cfRule type="cellIs" dxfId="4900" priority="5215" operator="between">
      <formula>0.95</formula>
      <formula>1</formula>
    </cfRule>
    <cfRule type="cellIs" dxfId="4899" priority="5216" stopIfTrue="1" operator="between">
      <formula>0</formula>
      <formula>0.5</formula>
    </cfRule>
  </conditionalFormatting>
  <conditionalFormatting sqref="N209">
    <cfRule type="cellIs" dxfId="4898" priority="5207" operator="between">
      <formula>0.76</formula>
      <formula>0.95</formula>
    </cfRule>
    <cfRule type="cellIs" dxfId="4897" priority="5208" operator="between">
      <formula>0.51</formula>
      <formula>0.75</formula>
    </cfRule>
    <cfRule type="cellIs" dxfId="4896" priority="5209" operator="greaterThan">
      <formula>1</formula>
    </cfRule>
    <cfRule type="cellIs" dxfId="4895" priority="5210" operator="between">
      <formula>0.95</formula>
      <formula>1</formula>
    </cfRule>
    <cfRule type="cellIs" dxfId="4894" priority="5211" stopIfTrue="1" operator="between">
      <formula>0</formula>
      <formula>0.5</formula>
    </cfRule>
  </conditionalFormatting>
  <conditionalFormatting sqref="N208">
    <cfRule type="cellIs" dxfId="4893" priority="5202" operator="between">
      <formula>0.76</formula>
      <formula>0.95</formula>
    </cfRule>
    <cfRule type="cellIs" dxfId="4892" priority="5203" operator="between">
      <formula>0.51</formula>
      <formula>0.75</formula>
    </cfRule>
    <cfRule type="cellIs" dxfId="4891" priority="5204" operator="greaterThan">
      <formula>1</formula>
    </cfRule>
    <cfRule type="cellIs" dxfId="4890" priority="5205" operator="between">
      <formula>0.95</formula>
      <formula>1</formula>
    </cfRule>
    <cfRule type="cellIs" dxfId="4889" priority="5206" stopIfTrue="1" operator="between">
      <formula>0</formula>
      <formula>0.5</formula>
    </cfRule>
  </conditionalFormatting>
  <conditionalFormatting sqref="N210">
    <cfRule type="cellIs" dxfId="4888" priority="5197" operator="between">
      <formula>0.76</formula>
      <formula>0.95</formula>
    </cfRule>
    <cfRule type="cellIs" dxfId="4887" priority="5198" operator="between">
      <formula>0.51</formula>
      <formula>0.75</formula>
    </cfRule>
    <cfRule type="cellIs" dxfId="4886" priority="5199" operator="greaterThan">
      <formula>1</formula>
    </cfRule>
    <cfRule type="cellIs" dxfId="4885" priority="5200" operator="between">
      <formula>0.95</formula>
      <formula>1</formula>
    </cfRule>
    <cfRule type="cellIs" dxfId="4884" priority="5201" stopIfTrue="1" operator="between">
      <formula>0</formula>
      <formula>0.5</formula>
    </cfRule>
  </conditionalFormatting>
  <conditionalFormatting sqref="N211">
    <cfRule type="cellIs" dxfId="4883" priority="5192" operator="between">
      <formula>0.76</formula>
      <formula>0.95</formula>
    </cfRule>
    <cfRule type="cellIs" dxfId="4882" priority="5193" operator="between">
      <formula>0.51</formula>
      <formula>0.75</formula>
    </cfRule>
    <cfRule type="cellIs" dxfId="4881" priority="5194" operator="greaterThan">
      <formula>1</formula>
    </cfRule>
    <cfRule type="cellIs" dxfId="4880" priority="5195" operator="between">
      <formula>0.95</formula>
      <formula>1</formula>
    </cfRule>
    <cfRule type="cellIs" dxfId="4879" priority="5196" stopIfTrue="1" operator="between">
      <formula>0</formula>
      <formula>0.5</formula>
    </cfRule>
  </conditionalFormatting>
  <conditionalFormatting sqref="N212">
    <cfRule type="cellIs" dxfId="4878" priority="5187" operator="between">
      <formula>0.76</formula>
      <formula>0.95</formula>
    </cfRule>
    <cfRule type="cellIs" dxfId="4877" priority="5188" operator="between">
      <formula>0.51</formula>
      <formula>0.75</formula>
    </cfRule>
    <cfRule type="cellIs" dxfId="4876" priority="5189" operator="greaterThan">
      <formula>1</formula>
    </cfRule>
    <cfRule type="cellIs" dxfId="4875" priority="5190" operator="between">
      <formula>0.95</formula>
      <formula>1</formula>
    </cfRule>
    <cfRule type="cellIs" dxfId="4874" priority="5191" stopIfTrue="1" operator="between">
      <formula>0</formula>
      <formula>0.5</formula>
    </cfRule>
  </conditionalFormatting>
  <conditionalFormatting sqref="N213:N214">
    <cfRule type="cellIs" dxfId="4873" priority="5177" operator="between">
      <formula>0.76</formula>
      <formula>0.95</formula>
    </cfRule>
    <cfRule type="cellIs" dxfId="4872" priority="5178" operator="between">
      <formula>0.51</formula>
      <formula>0.75</formula>
    </cfRule>
    <cfRule type="cellIs" dxfId="4871" priority="5179" operator="greaterThan">
      <formula>1</formula>
    </cfRule>
    <cfRule type="cellIs" dxfId="4870" priority="5180" operator="between">
      <formula>0.95</formula>
      <formula>1</formula>
    </cfRule>
    <cfRule type="cellIs" dxfId="4869" priority="5181" stopIfTrue="1" operator="between">
      <formula>0</formula>
      <formula>0.5</formula>
    </cfRule>
  </conditionalFormatting>
  <conditionalFormatting sqref="N215">
    <cfRule type="cellIs" dxfId="4868" priority="5172" operator="between">
      <formula>0.76</formula>
      <formula>0.95</formula>
    </cfRule>
    <cfRule type="cellIs" dxfId="4867" priority="5173" operator="between">
      <formula>0.51</formula>
      <formula>0.75</formula>
    </cfRule>
    <cfRule type="cellIs" dxfId="4866" priority="5174" operator="greaterThan">
      <formula>1</formula>
    </cfRule>
    <cfRule type="cellIs" dxfId="4865" priority="5175" operator="between">
      <formula>0.95</formula>
      <formula>1</formula>
    </cfRule>
    <cfRule type="cellIs" dxfId="4864" priority="5176" stopIfTrue="1" operator="between">
      <formula>0</formula>
      <formula>0.5</formula>
    </cfRule>
  </conditionalFormatting>
  <conditionalFormatting sqref="N216">
    <cfRule type="cellIs" dxfId="4863" priority="5167" operator="between">
      <formula>0.76</formula>
      <formula>0.95</formula>
    </cfRule>
    <cfRule type="cellIs" dxfId="4862" priority="5168" operator="between">
      <formula>0.51</formula>
      <formula>0.75</formula>
    </cfRule>
    <cfRule type="cellIs" dxfId="4861" priority="5169" operator="greaterThan">
      <formula>1</formula>
    </cfRule>
    <cfRule type="cellIs" dxfId="4860" priority="5170" operator="between">
      <formula>0.95</formula>
      <formula>1</formula>
    </cfRule>
    <cfRule type="cellIs" dxfId="4859" priority="5171" stopIfTrue="1" operator="between">
      <formula>0</formula>
      <formula>0.5</formula>
    </cfRule>
  </conditionalFormatting>
  <conditionalFormatting sqref="N217">
    <cfRule type="cellIs" dxfId="4858" priority="5162" operator="between">
      <formula>0.76</formula>
      <formula>0.95</formula>
    </cfRule>
    <cfRule type="cellIs" dxfId="4857" priority="5163" operator="between">
      <formula>0.51</formula>
      <formula>0.75</formula>
    </cfRule>
    <cfRule type="cellIs" dxfId="4856" priority="5164" operator="greaterThan">
      <formula>1</formula>
    </cfRule>
    <cfRule type="cellIs" dxfId="4855" priority="5165" operator="between">
      <formula>0.95</formula>
      <formula>1</formula>
    </cfRule>
    <cfRule type="cellIs" dxfId="4854" priority="5166" stopIfTrue="1" operator="between">
      <formula>0</formula>
      <formula>0.5</formula>
    </cfRule>
  </conditionalFormatting>
  <conditionalFormatting sqref="R15">
    <cfRule type="cellIs" dxfId="4853" priority="5157" operator="between">
      <formula>0.76</formula>
      <formula>0.95</formula>
    </cfRule>
    <cfRule type="cellIs" dxfId="4852" priority="5158" operator="between">
      <formula>0.51</formula>
      <formula>0.75</formula>
    </cfRule>
    <cfRule type="cellIs" dxfId="4851" priority="5159" operator="greaterThan">
      <formula>1</formula>
    </cfRule>
    <cfRule type="cellIs" dxfId="4850" priority="5160" operator="between">
      <formula>0.95</formula>
      <formula>1</formula>
    </cfRule>
    <cfRule type="cellIs" dxfId="4849" priority="5161" stopIfTrue="1" operator="between">
      <formula>0</formula>
      <formula>0.5</formula>
    </cfRule>
  </conditionalFormatting>
  <conditionalFormatting sqref="R16">
    <cfRule type="cellIs" dxfId="4848" priority="5152" operator="between">
      <formula>0.76</formula>
      <formula>0.95</formula>
    </cfRule>
    <cfRule type="cellIs" dxfId="4847" priority="5153" operator="between">
      <formula>0.51</formula>
      <formula>0.75</formula>
    </cfRule>
    <cfRule type="cellIs" dxfId="4846" priority="5154" operator="greaterThan">
      <formula>1</formula>
    </cfRule>
    <cfRule type="cellIs" dxfId="4845" priority="5155" operator="between">
      <formula>0.95</formula>
      <formula>1</formula>
    </cfRule>
    <cfRule type="cellIs" dxfId="4844" priority="5156" stopIfTrue="1" operator="between">
      <formula>0</formula>
      <formula>0.5</formula>
    </cfRule>
  </conditionalFormatting>
  <conditionalFormatting sqref="R17">
    <cfRule type="cellIs" dxfId="4843" priority="5147" operator="between">
      <formula>0.76</formula>
      <formula>0.95</formula>
    </cfRule>
    <cfRule type="cellIs" dxfId="4842" priority="5148" operator="between">
      <formula>0.51</formula>
      <formula>0.75</formula>
    </cfRule>
    <cfRule type="cellIs" dxfId="4841" priority="5149" operator="greaterThan">
      <formula>1</formula>
    </cfRule>
    <cfRule type="cellIs" dxfId="4840" priority="5150" operator="between">
      <formula>0.95</formula>
      <formula>1</formula>
    </cfRule>
    <cfRule type="cellIs" dxfId="4839" priority="5151" stopIfTrue="1" operator="between">
      <formula>0</formula>
      <formula>0.5</formula>
    </cfRule>
  </conditionalFormatting>
  <conditionalFormatting sqref="R18">
    <cfRule type="cellIs" dxfId="4838" priority="5137" operator="between">
      <formula>0.76</formula>
      <formula>0.95</formula>
    </cfRule>
    <cfRule type="cellIs" dxfId="4837" priority="5138" operator="between">
      <formula>0.51</formula>
      <formula>0.75</formula>
    </cfRule>
    <cfRule type="cellIs" dxfId="4836" priority="5139" operator="greaterThan">
      <formula>1</formula>
    </cfRule>
    <cfRule type="cellIs" dxfId="4835" priority="5140" operator="between">
      <formula>0.95</formula>
      <formula>1</formula>
    </cfRule>
    <cfRule type="cellIs" dxfId="4834" priority="5141" stopIfTrue="1" operator="between">
      <formula>0</formula>
      <formula>0.5</formula>
    </cfRule>
  </conditionalFormatting>
  <conditionalFormatting sqref="R19">
    <cfRule type="cellIs" dxfId="4833" priority="5132" operator="between">
      <formula>0.76</formula>
      <formula>0.95</formula>
    </cfRule>
    <cfRule type="cellIs" dxfId="4832" priority="5133" operator="between">
      <formula>0.51</formula>
      <formula>0.75</formula>
    </cfRule>
    <cfRule type="cellIs" dxfId="4831" priority="5134" operator="greaterThan">
      <formula>1</formula>
    </cfRule>
    <cfRule type="cellIs" dxfId="4830" priority="5135" operator="between">
      <formula>0.95</formula>
      <formula>1</formula>
    </cfRule>
    <cfRule type="cellIs" dxfId="4829" priority="5136" stopIfTrue="1" operator="between">
      <formula>0</formula>
      <formula>0.5</formula>
    </cfRule>
  </conditionalFormatting>
  <conditionalFormatting sqref="R21">
    <cfRule type="cellIs" dxfId="4828" priority="5127" operator="between">
      <formula>0.76</formula>
      <formula>0.95</formula>
    </cfRule>
    <cfRule type="cellIs" dxfId="4827" priority="5128" operator="between">
      <formula>0.51</formula>
      <formula>0.75</formula>
    </cfRule>
    <cfRule type="cellIs" dxfId="4826" priority="5129" operator="greaterThan">
      <formula>1</formula>
    </cfRule>
    <cfRule type="cellIs" dxfId="4825" priority="5130" operator="between">
      <formula>0.95</formula>
      <formula>1</formula>
    </cfRule>
    <cfRule type="cellIs" dxfId="4824" priority="5131" stopIfTrue="1" operator="between">
      <formula>0</formula>
      <formula>0.5</formula>
    </cfRule>
  </conditionalFormatting>
  <conditionalFormatting sqref="R20">
    <cfRule type="cellIs" dxfId="4823" priority="5122" operator="between">
      <formula>0.76</formula>
      <formula>0.95</formula>
    </cfRule>
    <cfRule type="cellIs" dxfId="4822" priority="5123" operator="between">
      <formula>0.51</formula>
      <formula>0.75</formula>
    </cfRule>
    <cfRule type="cellIs" dxfId="4821" priority="5124" operator="greaterThan">
      <formula>1</formula>
    </cfRule>
    <cfRule type="cellIs" dxfId="4820" priority="5125" operator="between">
      <formula>0.95</formula>
      <formula>1</formula>
    </cfRule>
    <cfRule type="cellIs" dxfId="4819" priority="5126" stopIfTrue="1" operator="between">
      <formula>0</formula>
      <formula>0.5</formula>
    </cfRule>
  </conditionalFormatting>
  <conditionalFormatting sqref="R22">
    <cfRule type="cellIs" dxfId="4818" priority="5117" operator="between">
      <formula>0.76</formula>
      <formula>0.95</formula>
    </cfRule>
    <cfRule type="cellIs" dxfId="4817" priority="5118" operator="between">
      <formula>0.51</formula>
      <formula>0.75</formula>
    </cfRule>
    <cfRule type="cellIs" dxfId="4816" priority="5119" operator="greaterThan">
      <formula>1</formula>
    </cfRule>
    <cfRule type="cellIs" dxfId="4815" priority="5120" operator="between">
      <formula>0.95</formula>
      <formula>1</formula>
    </cfRule>
    <cfRule type="cellIs" dxfId="4814" priority="5121" stopIfTrue="1" operator="between">
      <formula>0</formula>
      <formula>0.5</formula>
    </cfRule>
  </conditionalFormatting>
  <conditionalFormatting sqref="R23">
    <cfRule type="cellIs" dxfId="4813" priority="5112" operator="between">
      <formula>0.76</formula>
      <formula>0.95</formula>
    </cfRule>
    <cfRule type="cellIs" dxfId="4812" priority="5113" operator="between">
      <formula>0.51</formula>
      <formula>0.75</formula>
    </cfRule>
    <cfRule type="cellIs" dxfId="4811" priority="5114" operator="greaterThan">
      <formula>1</formula>
    </cfRule>
    <cfRule type="cellIs" dxfId="4810" priority="5115" operator="between">
      <formula>0.95</formula>
      <formula>1</formula>
    </cfRule>
    <cfRule type="cellIs" dxfId="4809" priority="5116" stopIfTrue="1" operator="between">
      <formula>0</formula>
      <formula>0.5</formula>
    </cfRule>
  </conditionalFormatting>
  <conditionalFormatting sqref="R24">
    <cfRule type="cellIs" dxfId="4808" priority="5107" operator="between">
      <formula>0.76</formula>
      <formula>0.95</formula>
    </cfRule>
    <cfRule type="cellIs" dxfId="4807" priority="5108" operator="between">
      <formula>0.51</formula>
      <formula>0.75</formula>
    </cfRule>
    <cfRule type="cellIs" dxfId="4806" priority="5109" operator="greaterThan">
      <formula>1</formula>
    </cfRule>
    <cfRule type="cellIs" dxfId="4805" priority="5110" operator="between">
      <formula>0.95</formula>
      <formula>1</formula>
    </cfRule>
    <cfRule type="cellIs" dxfId="4804" priority="5111" stopIfTrue="1" operator="between">
      <formula>0</formula>
      <formula>0.5</formula>
    </cfRule>
  </conditionalFormatting>
  <conditionalFormatting sqref="R25">
    <cfRule type="cellIs" dxfId="4803" priority="5102" operator="between">
      <formula>0.76</formula>
      <formula>0.95</formula>
    </cfRule>
    <cfRule type="cellIs" dxfId="4802" priority="5103" operator="between">
      <formula>0.51</formula>
      <formula>0.75</formula>
    </cfRule>
    <cfRule type="cellIs" dxfId="4801" priority="5104" operator="greaterThan">
      <formula>1</formula>
    </cfRule>
    <cfRule type="cellIs" dxfId="4800" priority="5105" operator="between">
      <formula>0.95</formula>
      <formula>1</formula>
    </cfRule>
    <cfRule type="cellIs" dxfId="4799" priority="5106" stopIfTrue="1" operator="between">
      <formula>0</formula>
      <formula>0.5</formula>
    </cfRule>
  </conditionalFormatting>
  <conditionalFormatting sqref="R27">
    <cfRule type="cellIs" dxfId="4798" priority="5097" operator="between">
      <formula>0.76</formula>
      <formula>0.95</formula>
    </cfRule>
    <cfRule type="cellIs" dxfId="4797" priority="5098" operator="between">
      <formula>0.51</formula>
      <formula>0.75</formula>
    </cfRule>
    <cfRule type="cellIs" dxfId="4796" priority="5099" operator="greaterThan">
      <formula>1</formula>
    </cfRule>
    <cfRule type="cellIs" dxfId="4795" priority="5100" operator="between">
      <formula>0.95</formula>
      <formula>1</formula>
    </cfRule>
    <cfRule type="cellIs" dxfId="4794" priority="5101" stopIfTrue="1" operator="between">
      <formula>0</formula>
      <formula>0.5</formula>
    </cfRule>
  </conditionalFormatting>
  <conditionalFormatting sqref="R28">
    <cfRule type="cellIs" dxfId="4793" priority="5092" operator="between">
      <formula>0.76</formula>
      <formula>0.95</formula>
    </cfRule>
    <cfRule type="cellIs" dxfId="4792" priority="5093" operator="between">
      <formula>0.51</formula>
      <formula>0.75</formula>
    </cfRule>
    <cfRule type="cellIs" dxfId="4791" priority="5094" operator="greaterThan">
      <formula>1</formula>
    </cfRule>
    <cfRule type="cellIs" dxfId="4790" priority="5095" operator="between">
      <formula>0.95</formula>
      <formula>1</formula>
    </cfRule>
    <cfRule type="cellIs" dxfId="4789" priority="5096" stopIfTrue="1" operator="between">
      <formula>0</formula>
      <formula>0.5</formula>
    </cfRule>
  </conditionalFormatting>
  <conditionalFormatting sqref="R29">
    <cfRule type="cellIs" dxfId="4788" priority="5082" operator="between">
      <formula>0.76</formula>
      <formula>0.95</formula>
    </cfRule>
    <cfRule type="cellIs" dxfId="4787" priority="5083" operator="between">
      <formula>0.51</formula>
      <formula>0.75</formula>
    </cfRule>
    <cfRule type="cellIs" dxfId="4786" priority="5084" operator="greaterThan">
      <formula>1</formula>
    </cfRule>
    <cfRule type="cellIs" dxfId="4785" priority="5085" operator="between">
      <formula>0.95</formula>
      <formula>1</formula>
    </cfRule>
    <cfRule type="cellIs" dxfId="4784" priority="5086" stopIfTrue="1" operator="between">
      <formula>0</formula>
      <formula>0.5</formula>
    </cfRule>
  </conditionalFormatting>
  <conditionalFormatting sqref="R30">
    <cfRule type="cellIs" dxfId="4783" priority="5077" operator="between">
      <formula>0.76</formula>
      <formula>0.95</formula>
    </cfRule>
    <cfRule type="cellIs" dxfId="4782" priority="5078" operator="between">
      <formula>0.51</formula>
      <formula>0.75</formula>
    </cfRule>
    <cfRule type="cellIs" dxfId="4781" priority="5079" operator="greaterThan">
      <formula>1</formula>
    </cfRule>
    <cfRule type="cellIs" dxfId="4780" priority="5080" operator="between">
      <formula>0.95</formula>
      <formula>1</formula>
    </cfRule>
    <cfRule type="cellIs" dxfId="4779" priority="5081" stopIfTrue="1" operator="between">
      <formula>0</formula>
      <formula>0.5</formula>
    </cfRule>
  </conditionalFormatting>
  <conditionalFormatting sqref="R31">
    <cfRule type="cellIs" dxfId="4778" priority="5072" operator="between">
      <formula>0.76</formula>
      <formula>0.95</formula>
    </cfRule>
    <cfRule type="cellIs" dxfId="4777" priority="5073" operator="between">
      <formula>0.51</formula>
      <formula>0.75</formula>
    </cfRule>
    <cfRule type="cellIs" dxfId="4776" priority="5074" operator="greaterThan">
      <formula>1</formula>
    </cfRule>
    <cfRule type="cellIs" dxfId="4775" priority="5075" operator="between">
      <formula>0.95</formula>
      <formula>1</formula>
    </cfRule>
    <cfRule type="cellIs" dxfId="4774" priority="5076" stopIfTrue="1" operator="between">
      <formula>0</formula>
      <formula>0.5</formula>
    </cfRule>
  </conditionalFormatting>
  <conditionalFormatting sqref="R32">
    <cfRule type="cellIs" dxfId="4773" priority="5067" operator="between">
      <formula>0.76</formula>
      <formula>0.95</formula>
    </cfRule>
    <cfRule type="cellIs" dxfId="4772" priority="5068" operator="between">
      <formula>0.51</formula>
      <formula>0.75</formula>
    </cfRule>
    <cfRule type="cellIs" dxfId="4771" priority="5069" operator="greaterThan">
      <formula>1</formula>
    </cfRule>
    <cfRule type="cellIs" dxfId="4770" priority="5070" operator="between">
      <formula>0.95</formula>
      <formula>1</formula>
    </cfRule>
    <cfRule type="cellIs" dxfId="4769" priority="5071" stopIfTrue="1" operator="between">
      <formula>0</formula>
      <formula>0.5</formula>
    </cfRule>
  </conditionalFormatting>
  <conditionalFormatting sqref="R33">
    <cfRule type="cellIs" dxfId="4768" priority="5062" operator="between">
      <formula>0.76</formula>
      <formula>0.95</formula>
    </cfRule>
    <cfRule type="cellIs" dxfId="4767" priority="5063" operator="between">
      <formula>0.51</formula>
      <formula>0.75</formula>
    </cfRule>
    <cfRule type="cellIs" dxfId="4766" priority="5064" operator="greaterThan">
      <formula>1</formula>
    </cfRule>
    <cfRule type="cellIs" dxfId="4765" priority="5065" operator="between">
      <formula>0.95</formula>
      <formula>1</formula>
    </cfRule>
    <cfRule type="cellIs" dxfId="4764" priority="5066" stopIfTrue="1" operator="between">
      <formula>0</formula>
      <formula>0.5</formula>
    </cfRule>
  </conditionalFormatting>
  <conditionalFormatting sqref="R34">
    <cfRule type="cellIs" dxfId="4763" priority="5057" operator="between">
      <formula>0.76</formula>
      <formula>0.95</formula>
    </cfRule>
    <cfRule type="cellIs" dxfId="4762" priority="5058" operator="between">
      <formula>0.51</formula>
      <formula>0.75</formula>
    </cfRule>
    <cfRule type="cellIs" dxfId="4761" priority="5059" operator="greaterThan">
      <formula>1</formula>
    </cfRule>
    <cfRule type="cellIs" dxfId="4760" priority="5060" operator="between">
      <formula>0.95</formula>
      <formula>1</formula>
    </cfRule>
    <cfRule type="cellIs" dxfId="4759" priority="5061" stopIfTrue="1" operator="between">
      <formula>0</formula>
      <formula>0.5</formula>
    </cfRule>
  </conditionalFormatting>
  <conditionalFormatting sqref="R35">
    <cfRule type="cellIs" dxfId="4758" priority="5047" operator="between">
      <formula>0.76</formula>
      <formula>0.95</formula>
    </cfRule>
    <cfRule type="cellIs" dxfId="4757" priority="5048" operator="between">
      <formula>0.51</formula>
      <formula>0.75</formula>
    </cfRule>
    <cfRule type="cellIs" dxfId="4756" priority="5049" operator="greaterThan">
      <formula>1</formula>
    </cfRule>
    <cfRule type="cellIs" dxfId="4755" priority="5050" operator="between">
      <formula>0.95</formula>
      <formula>1</formula>
    </cfRule>
    <cfRule type="cellIs" dxfId="4754" priority="5051" stopIfTrue="1" operator="between">
      <formula>0</formula>
      <formula>0.5</formula>
    </cfRule>
  </conditionalFormatting>
  <conditionalFormatting sqref="R36">
    <cfRule type="cellIs" dxfId="4753" priority="5042" operator="between">
      <formula>0.76</formula>
      <formula>0.95</formula>
    </cfRule>
    <cfRule type="cellIs" dxfId="4752" priority="5043" operator="between">
      <formula>0.51</formula>
      <formula>0.75</formula>
    </cfRule>
    <cfRule type="cellIs" dxfId="4751" priority="5044" operator="greaterThan">
      <formula>1</formula>
    </cfRule>
    <cfRule type="cellIs" dxfId="4750" priority="5045" operator="between">
      <formula>0.95</formula>
      <formula>1</formula>
    </cfRule>
    <cfRule type="cellIs" dxfId="4749" priority="5046" stopIfTrue="1" operator="between">
      <formula>0</formula>
      <formula>0.5</formula>
    </cfRule>
  </conditionalFormatting>
  <conditionalFormatting sqref="R37">
    <cfRule type="cellIs" dxfId="4748" priority="5037" operator="between">
      <formula>0.76</formula>
      <formula>0.95</formula>
    </cfRule>
    <cfRule type="cellIs" dxfId="4747" priority="5038" operator="between">
      <formula>0.51</formula>
      <formula>0.75</formula>
    </cfRule>
    <cfRule type="cellIs" dxfId="4746" priority="5039" operator="greaterThan">
      <formula>1</formula>
    </cfRule>
    <cfRule type="cellIs" dxfId="4745" priority="5040" operator="between">
      <formula>0.95</formula>
      <formula>1</formula>
    </cfRule>
    <cfRule type="cellIs" dxfId="4744" priority="5041" stopIfTrue="1" operator="between">
      <formula>0</formula>
      <formula>0.5</formula>
    </cfRule>
  </conditionalFormatting>
  <conditionalFormatting sqref="R38">
    <cfRule type="cellIs" dxfId="4743" priority="5032" operator="between">
      <formula>0.76</formula>
      <formula>0.95</formula>
    </cfRule>
    <cfRule type="cellIs" dxfId="4742" priority="5033" operator="between">
      <formula>0.51</formula>
      <formula>0.75</formula>
    </cfRule>
    <cfRule type="cellIs" dxfId="4741" priority="5034" operator="greaterThan">
      <formula>1</formula>
    </cfRule>
    <cfRule type="cellIs" dxfId="4740" priority="5035" operator="between">
      <formula>0.95</formula>
      <formula>1</formula>
    </cfRule>
    <cfRule type="cellIs" dxfId="4739" priority="5036" stopIfTrue="1" operator="between">
      <formula>0</formula>
      <formula>0.5</formula>
    </cfRule>
  </conditionalFormatting>
  <conditionalFormatting sqref="R39">
    <cfRule type="cellIs" dxfId="4738" priority="5027" operator="between">
      <formula>0.76</formula>
      <formula>0.95</formula>
    </cfRule>
    <cfRule type="cellIs" dxfId="4737" priority="5028" operator="between">
      <formula>0.51</formula>
      <formula>0.75</formula>
    </cfRule>
    <cfRule type="cellIs" dxfId="4736" priority="5029" operator="greaterThan">
      <formula>1</formula>
    </cfRule>
    <cfRule type="cellIs" dxfId="4735" priority="5030" operator="between">
      <formula>0.95</formula>
      <formula>1</formula>
    </cfRule>
    <cfRule type="cellIs" dxfId="4734" priority="5031" stopIfTrue="1" operator="between">
      <formula>0</formula>
      <formula>0.5</formula>
    </cfRule>
  </conditionalFormatting>
  <conditionalFormatting sqref="R40">
    <cfRule type="cellIs" dxfId="4733" priority="5022" operator="between">
      <formula>0.76</formula>
      <formula>0.95</formula>
    </cfRule>
    <cfRule type="cellIs" dxfId="4732" priority="5023" operator="between">
      <formula>0.51</formula>
      <formula>0.75</formula>
    </cfRule>
    <cfRule type="cellIs" dxfId="4731" priority="5024" operator="greaterThan">
      <formula>1</formula>
    </cfRule>
    <cfRule type="cellIs" dxfId="4730" priority="5025" operator="between">
      <formula>0.95</formula>
      <formula>1</formula>
    </cfRule>
    <cfRule type="cellIs" dxfId="4729" priority="5026" stopIfTrue="1" operator="between">
      <formula>0</formula>
      <formula>0.5</formula>
    </cfRule>
  </conditionalFormatting>
  <conditionalFormatting sqref="R41">
    <cfRule type="cellIs" dxfId="4728" priority="5017" operator="between">
      <formula>0.76</formula>
      <formula>0.95</formula>
    </cfRule>
    <cfRule type="cellIs" dxfId="4727" priority="5018" operator="between">
      <formula>0.51</formula>
      <formula>0.75</formula>
    </cfRule>
    <cfRule type="cellIs" dxfId="4726" priority="5019" operator="greaterThan">
      <formula>1</formula>
    </cfRule>
    <cfRule type="cellIs" dxfId="4725" priority="5020" operator="between">
      <formula>0.95</formula>
      <formula>1</formula>
    </cfRule>
    <cfRule type="cellIs" dxfId="4724" priority="5021" stopIfTrue="1" operator="between">
      <formula>0</formula>
      <formula>0.5</formula>
    </cfRule>
  </conditionalFormatting>
  <conditionalFormatting sqref="R42">
    <cfRule type="cellIs" dxfId="4723" priority="5012" operator="between">
      <formula>0.76</formula>
      <formula>0.95</formula>
    </cfRule>
    <cfRule type="cellIs" dxfId="4722" priority="5013" operator="between">
      <formula>0.51</formula>
      <formula>0.75</formula>
    </cfRule>
    <cfRule type="cellIs" dxfId="4721" priority="5014" operator="greaterThan">
      <formula>1</formula>
    </cfRule>
    <cfRule type="cellIs" dxfId="4720" priority="5015" operator="between">
      <formula>0.95</formula>
      <formula>1</formula>
    </cfRule>
    <cfRule type="cellIs" dxfId="4719" priority="5016" stopIfTrue="1" operator="between">
      <formula>0</formula>
      <formula>0.5</formula>
    </cfRule>
  </conditionalFormatting>
  <conditionalFormatting sqref="R43">
    <cfRule type="cellIs" dxfId="4718" priority="5007" operator="between">
      <formula>0.76</formula>
      <formula>0.95</formula>
    </cfRule>
    <cfRule type="cellIs" dxfId="4717" priority="5008" operator="between">
      <formula>0.51</formula>
      <formula>0.75</formula>
    </cfRule>
    <cfRule type="cellIs" dxfId="4716" priority="5009" operator="greaterThan">
      <formula>1</formula>
    </cfRule>
    <cfRule type="cellIs" dxfId="4715" priority="5010" operator="between">
      <formula>0.95</formula>
      <formula>1</formula>
    </cfRule>
    <cfRule type="cellIs" dxfId="4714" priority="5011" stopIfTrue="1" operator="between">
      <formula>0</formula>
      <formula>0.5</formula>
    </cfRule>
  </conditionalFormatting>
  <conditionalFormatting sqref="R44">
    <cfRule type="cellIs" dxfId="4713" priority="5002" operator="between">
      <formula>0.76</formula>
      <formula>0.95</formula>
    </cfRule>
    <cfRule type="cellIs" dxfId="4712" priority="5003" operator="between">
      <formula>0.51</formula>
      <formula>0.75</formula>
    </cfRule>
    <cfRule type="cellIs" dxfId="4711" priority="5004" operator="greaterThan">
      <formula>1</formula>
    </cfRule>
    <cfRule type="cellIs" dxfId="4710" priority="5005" operator="between">
      <formula>0.95</formula>
      <formula>1</formula>
    </cfRule>
    <cfRule type="cellIs" dxfId="4709" priority="5006" stopIfTrue="1" operator="between">
      <formula>0</formula>
      <formula>0.5</formula>
    </cfRule>
  </conditionalFormatting>
  <conditionalFormatting sqref="R45">
    <cfRule type="cellIs" dxfId="4708" priority="4997" operator="between">
      <formula>0.76</formula>
      <formula>0.95</formula>
    </cfRule>
    <cfRule type="cellIs" dxfId="4707" priority="4998" operator="between">
      <formula>0.51</formula>
      <formula>0.75</formula>
    </cfRule>
    <cfRule type="cellIs" dxfId="4706" priority="4999" operator="greaterThan">
      <formula>1</formula>
    </cfRule>
    <cfRule type="cellIs" dxfId="4705" priority="5000" operator="between">
      <formula>0.95</formula>
      <formula>1</formula>
    </cfRule>
    <cfRule type="cellIs" dxfId="4704" priority="5001" stopIfTrue="1" operator="between">
      <formula>0</formula>
      <formula>0.5</formula>
    </cfRule>
  </conditionalFormatting>
  <conditionalFormatting sqref="R46">
    <cfRule type="cellIs" dxfId="4703" priority="4992" operator="between">
      <formula>0.76</formula>
      <formula>0.95</formula>
    </cfRule>
    <cfRule type="cellIs" dxfId="4702" priority="4993" operator="between">
      <formula>0.51</formula>
      <formula>0.75</formula>
    </cfRule>
    <cfRule type="cellIs" dxfId="4701" priority="4994" operator="greaterThan">
      <formula>1</formula>
    </cfRule>
    <cfRule type="cellIs" dxfId="4700" priority="4995" operator="between">
      <formula>0.95</formula>
      <formula>1</formula>
    </cfRule>
    <cfRule type="cellIs" dxfId="4699" priority="4996" stopIfTrue="1" operator="between">
      <formula>0</formula>
      <formula>0.5</formula>
    </cfRule>
  </conditionalFormatting>
  <conditionalFormatting sqref="R47">
    <cfRule type="cellIs" dxfId="4698" priority="4987" operator="between">
      <formula>0.76</formula>
      <formula>0.95</formula>
    </cfRule>
    <cfRule type="cellIs" dxfId="4697" priority="4988" operator="between">
      <formula>0.51</formula>
      <formula>0.75</formula>
    </cfRule>
    <cfRule type="cellIs" dxfId="4696" priority="4989" operator="greaterThan">
      <formula>1</formula>
    </cfRule>
    <cfRule type="cellIs" dxfId="4695" priority="4990" operator="between">
      <formula>0.95</formula>
      <formula>1</formula>
    </cfRule>
    <cfRule type="cellIs" dxfId="4694" priority="4991" stopIfTrue="1" operator="between">
      <formula>0</formula>
      <formula>0.5</formula>
    </cfRule>
  </conditionalFormatting>
  <conditionalFormatting sqref="R48">
    <cfRule type="cellIs" dxfId="4693" priority="4982" operator="between">
      <formula>0.76</formula>
      <formula>0.95</formula>
    </cfRule>
    <cfRule type="cellIs" dxfId="4692" priority="4983" operator="between">
      <formula>0.51</formula>
      <formula>0.75</formula>
    </cfRule>
    <cfRule type="cellIs" dxfId="4691" priority="4984" operator="greaterThan">
      <formula>1</formula>
    </cfRule>
    <cfRule type="cellIs" dxfId="4690" priority="4985" operator="between">
      <formula>0.95</formula>
      <formula>1</formula>
    </cfRule>
    <cfRule type="cellIs" dxfId="4689" priority="4986" stopIfTrue="1" operator="between">
      <formula>0</formula>
      <formula>0.5</formula>
    </cfRule>
  </conditionalFormatting>
  <conditionalFormatting sqref="R49">
    <cfRule type="cellIs" dxfId="4688" priority="4977" operator="between">
      <formula>0.76</formula>
      <formula>0.95</formula>
    </cfRule>
    <cfRule type="cellIs" dxfId="4687" priority="4978" operator="between">
      <formula>0.51</formula>
      <formula>0.75</formula>
    </cfRule>
    <cfRule type="cellIs" dxfId="4686" priority="4979" operator="greaterThan">
      <formula>1</formula>
    </cfRule>
    <cfRule type="cellIs" dxfId="4685" priority="4980" operator="between">
      <formula>0.95</formula>
      <formula>1</formula>
    </cfRule>
    <cfRule type="cellIs" dxfId="4684" priority="4981" stopIfTrue="1" operator="between">
      <formula>0</formula>
      <formula>0.5</formula>
    </cfRule>
  </conditionalFormatting>
  <conditionalFormatting sqref="R50">
    <cfRule type="cellIs" dxfId="4683" priority="4972" operator="between">
      <formula>0.76</formula>
      <formula>0.95</formula>
    </cfRule>
    <cfRule type="cellIs" dxfId="4682" priority="4973" operator="between">
      <formula>0.51</formula>
      <formula>0.75</formula>
    </cfRule>
    <cfRule type="cellIs" dxfId="4681" priority="4974" operator="greaterThan">
      <formula>1</formula>
    </cfRule>
    <cfRule type="cellIs" dxfId="4680" priority="4975" operator="between">
      <formula>0.95</formula>
      <formula>1</formula>
    </cfRule>
    <cfRule type="cellIs" dxfId="4679" priority="4976" stopIfTrue="1" operator="between">
      <formula>0</formula>
      <formula>0.5</formula>
    </cfRule>
  </conditionalFormatting>
  <conditionalFormatting sqref="R51">
    <cfRule type="cellIs" dxfId="4678" priority="4967" operator="between">
      <formula>0.76</formula>
      <formula>0.95</formula>
    </cfRule>
    <cfRule type="cellIs" dxfId="4677" priority="4968" operator="between">
      <formula>0.51</formula>
      <formula>0.75</formula>
    </cfRule>
    <cfRule type="cellIs" dxfId="4676" priority="4969" operator="greaterThan">
      <formula>1</formula>
    </cfRule>
    <cfRule type="cellIs" dxfId="4675" priority="4970" operator="between">
      <formula>0.95</formula>
      <formula>1</formula>
    </cfRule>
    <cfRule type="cellIs" dxfId="4674" priority="4971" stopIfTrue="1" operator="between">
      <formula>0</formula>
      <formula>0.5</formula>
    </cfRule>
  </conditionalFormatting>
  <conditionalFormatting sqref="R52">
    <cfRule type="cellIs" dxfId="4673" priority="4962" operator="between">
      <formula>0.76</formula>
      <formula>0.95</formula>
    </cfRule>
    <cfRule type="cellIs" dxfId="4672" priority="4963" operator="between">
      <formula>0.51</formula>
      <formula>0.75</formula>
    </cfRule>
    <cfRule type="cellIs" dxfId="4671" priority="4964" operator="greaterThan">
      <formula>1</formula>
    </cfRule>
    <cfRule type="cellIs" dxfId="4670" priority="4965" operator="between">
      <formula>0.95</formula>
      <formula>1</formula>
    </cfRule>
    <cfRule type="cellIs" dxfId="4669" priority="4966" stopIfTrue="1" operator="between">
      <formula>0</formula>
      <formula>0.5</formula>
    </cfRule>
  </conditionalFormatting>
  <conditionalFormatting sqref="R53">
    <cfRule type="cellIs" dxfId="4668" priority="4957" operator="between">
      <formula>0.76</formula>
      <formula>0.95</formula>
    </cfRule>
    <cfRule type="cellIs" dxfId="4667" priority="4958" operator="between">
      <formula>0.51</formula>
      <formula>0.75</formula>
    </cfRule>
    <cfRule type="cellIs" dxfId="4666" priority="4959" operator="greaterThan">
      <formula>1</formula>
    </cfRule>
    <cfRule type="cellIs" dxfId="4665" priority="4960" operator="between">
      <formula>0.95</formula>
      <formula>1</formula>
    </cfRule>
    <cfRule type="cellIs" dxfId="4664" priority="4961" stopIfTrue="1" operator="between">
      <formula>0</formula>
      <formula>0.5</formula>
    </cfRule>
  </conditionalFormatting>
  <conditionalFormatting sqref="R55">
    <cfRule type="cellIs" dxfId="4663" priority="4952" operator="between">
      <formula>0.76</formula>
      <formula>0.95</formula>
    </cfRule>
    <cfRule type="cellIs" dxfId="4662" priority="4953" operator="between">
      <formula>0.51</formula>
      <formula>0.75</formula>
    </cfRule>
    <cfRule type="cellIs" dxfId="4661" priority="4954" operator="greaterThan">
      <formula>1</formula>
    </cfRule>
    <cfRule type="cellIs" dxfId="4660" priority="4955" operator="between">
      <formula>0.95</formula>
      <formula>1</formula>
    </cfRule>
    <cfRule type="cellIs" dxfId="4659" priority="4956" stopIfTrue="1" operator="between">
      <formula>0</formula>
      <formula>0.5</formula>
    </cfRule>
  </conditionalFormatting>
  <conditionalFormatting sqref="R54">
    <cfRule type="cellIs" dxfId="4658" priority="4947" operator="between">
      <formula>0.76</formula>
      <formula>0.95</formula>
    </cfRule>
    <cfRule type="cellIs" dxfId="4657" priority="4948" operator="between">
      <formula>0.51</formula>
      <formula>0.75</formula>
    </cfRule>
    <cfRule type="cellIs" dxfId="4656" priority="4949" operator="greaterThan">
      <formula>1</formula>
    </cfRule>
    <cfRule type="cellIs" dxfId="4655" priority="4950" operator="between">
      <formula>0.95</formula>
      <formula>1</formula>
    </cfRule>
    <cfRule type="cellIs" dxfId="4654" priority="4951" stopIfTrue="1" operator="between">
      <formula>0</formula>
      <formula>0.5</formula>
    </cfRule>
  </conditionalFormatting>
  <conditionalFormatting sqref="R56">
    <cfRule type="cellIs" dxfId="4653" priority="4942" operator="between">
      <formula>0.76</formula>
      <formula>0.95</formula>
    </cfRule>
    <cfRule type="cellIs" dxfId="4652" priority="4943" operator="between">
      <formula>0.51</formula>
      <formula>0.75</formula>
    </cfRule>
    <cfRule type="cellIs" dxfId="4651" priority="4944" operator="greaterThan">
      <formula>1</formula>
    </cfRule>
    <cfRule type="cellIs" dxfId="4650" priority="4945" operator="between">
      <formula>0.95</formula>
      <formula>1</formula>
    </cfRule>
    <cfRule type="cellIs" dxfId="4649" priority="4946" stopIfTrue="1" operator="between">
      <formula>0</formula>
      <formula>0.5</formula>
    </cfRule>
  </conditionalFormatting>
  <conditionalFormatting sqref="R57">
    <cfRule type="cellIs" dxfId="4648" priority="4937" operator="between">
      <formula>0.76</formula>
      <formula>0.95</formula>
    </cfRule>
    <cfRule type="cellIs" dxfId="4647" priority="4938" operator="between">
      <formula>0.51</formula>
      <formula>0.75</formula>
    </cfRule>
    <cfRule type="cellIs" dxfId="4646" priority="4939" operator="greaterThan">
      <formula>1</formula>
    </cfRule>
    <cfRule type="cellIs" dxfId="4645" priority="4940" operator="between">
      <formula>0.95</formula>
      <formula>1</formula>
    </cfRule>
    <cfRule type="cellIs" dxfId="4644" priority="4941" stopIfTrue="1" operator="between">
      <formula>0</formula>
      <formula>0.5</formula>
    </cfRule>
  </conditionalFormatting>
  <conditionalFormatting sqref="R59">
    <cfRule type="cellIs" dxfId="4643" priority="4927" operator="between">
      <formula>0.76</formula>
      <formula>0.95</formula>
    </cfRule>
    <cfRule type="cellIs" dxfId="4642" priority="4928" operator="between">
      <formula>0.51</formula>
      <formula>0.75</formula>
    </cfRule>
    <cfRule type="cellIs" dxfId="4641" priority="4929" operator="greaterThan">
      <formula>1</formula>
    </cfRule>
    <cfRule type="cellIs" dxfId="4640" priority="4930" operator="between">
      <formula>0.95</formula>
      <formula>1</formula>
    </cfRule>
    <cfRule type="cellIs" dxfId="4639" priority="4931" stopIfTrue="1" operator="between">
      <formula>0</formula>
      <formula>0.5</formula>
    </cfRule>
  </conditionalFormatting>
  <conditionalFormatting sqref="R58">
    <cfRule type="cellIs" dxfId="4638" priority="4917" operator="between">
      <formula>0.76</formula>
      <formula>0.95</formula>
    </cfRule>
    <cfRule type="cellIs" dxfId="4637" priority="4918" operator="between">
      <formula>0.51</formula>
      <formula>0.75</formula>
    </cfRule>
    <cfRule type="cellIs" dxfId="4636" priority="4919" operator="greaterThan">
      <formula>1</formula>
    </cfRule>
    <cfRule type="cellIs" dxfId="4635" priority="4920" operator="between">
      <formula>0.95</formula>
      <formula>1</formula>
    </cfRule>
    <cfRule type="cellIs" dxfId="4634" priority="4921" stopIfTrue="1" operator="between">
      <formula>0</formula>
      <formula>0.5</formula>
    </cfRule>
  </conditionalFormatting>
  <conditionalFormatting sqref="R60">
    <cfRule type="cellIs" dxfId="4633" priority="4912" operator="between">
      <formula>0.76</formula>
      <formula>0.95</formula>
    </cfRule>
    <cfRule type="cellIs" dxfId="4632" priority="4913" operator="between">
      <formula>0.51</formula>
      <formula>0.75</formula>
    </cfRule>
    <cfRule type="cellIs" dxfId="4631" priority="4914" operator="greaterThan">
      <formula>1</formula>
    </cfRule>
    <cfRule type="cellIs" dxfId="4630" priority="4915" operator="between">
      <formula>0.95</formula>
      <formula>1</formula>
    </cfRule>
    <cfRule type="cellIs" dxfId="4629" priority="4916" stopIfTrue="1" operator="between">
      <formula>0</formula>
      <formula>0.5</formula>
    </cfRule>
  </conditionalFormatting>
  <conditionalFormatting sqref="R61">
    <cfRule type="cellIs" dxfId="4628" priority="4907" operator="between">
      <formula>0.76</formula>
      <formula>0.95</formula>
    </cfRule>
    <cfRule type="cellIs" dxfId="4627" priority="4908" operator="between">
      <formula>0.51</formula>
      <formula>0.75</formula>
    </cfRule>
    <cfRule type="cellIs" dxfId="4626" priority="4909" operator="greaterThan">
      <formula>1</formula>
    </cfRule>
    <cfRule type="cellIs" dxfId="4625" priority="4910" operator="between">
      <formula>0.95</formula>
      <formula>1</formula>
    </cfRule>
    <cfRule type="cellIs" dxfId="4624" priority="4911" stopIfTrue="1" operator="between">
      <formula>0</formula>
      <formula>0.5</formula>
    </cfRule>
  </conditionalFormatting>
  <conditionalFormatting sqref="R63:R64">
    <cfRule type="cellIs" dxfId="4623" priority="4897" operator="between">
      <formula>0.76</formula>
      <formula>0.95</formula>
    </cfRule>
    <cfRule type="cellIs" dxfId="4622" priority="4898" operator="between">
      <formula>0.51</formula>
      <formula>0.75</formula>
    </cfRule>
    <cfRule type="cellIs" dxfId="4621" priority="4899" operator="greaterThan">
      <formula>1</formula>
    </cfRule>
    <cfRule type="cellIs" dxfId="4620" priority="4900" operator="between">
      <formula>0.95</formula>
      <formula>1</formula>
    </cfRule>
    <cfRule type="cellIs" dxfId="4619" priority="4901" stopIfTrue="1" operator="between">
      <formula>0</formula>
      <formula>0.5</formula>
    </cfRule>
  </conditionalFormatting>
  <conditionalFormatting sqref="R65">
    <cfRule type="cellIs" dxfId="4618" priority="4892" operator="between">
      <formula>0.76</formula>
      <formula>0.95</formula>
    </cfRule>
    <cfRule type="cellIs" dxfId="4617" priority="4893" operator="between">
      <formula>0.51</formula>
      <formula>0.75</formula>
    </cfRule>
    <cfRule type="cellIs" dxfId="4616" priority="4894" operator="greaterThan">
      <formula>1</formula>
    </cfRule>
    <cfRule type="cellIs" dxfId="4615" priority="4895" operator="between">
      <formula>0.95</formula>
      <formula>1</formula>
    </cfRule>
    <cfRule type="cellIs" dxfId="4614" priority="4896" stopIfTrue="1" operator="between">
      <formula>0</formula>
      <formula>0.5</formula>
    </cfRule>
  </conditionalFormatting>
  <conditionalFormatting sqref="R66">
    <cfRule type="cellIs" dxfId="4613" priority="4887" operator="between">
      <formula>0.76</formula>
      <formula>0.95</formula>
    </cfRule>
    <cfRule type="cellIs" dxfId="4612" priority="4888" operator="between">
      <formula>0.51</formula>
      <formula>0.75</formula>
    </cfRule>
    <cfRule type="cellIs" dxfId="4611" priority="4889" operator="greaterThan">
      <formula>1</formula>
    </cfRule>
    <cfRule type="cellIs" dxfId="4610" priority="4890" operator="between">
      <formula>0.95</formula>
      <formula>1</formula>
    </cfRule>
    <cfRule type="cellIs" dxfId="4609" priority="4891" stopIfTrue="1" operator="between">
      <formula>0</formula>
      <formula>0.5</formula>
    </cfRule>
  </conditionalFormatting>
  <conditionalFormatting sqref="R67">
    <cfRule type="cellIs" dxfId="4608" priority="4882" operator="between">
      <formula>0.76</formula>
      <formula>0.95</formula>
    </cfRule>
    <cfRule type="cellIs" dxfId="4607" priority="4883" operator="between">
      <formula>0.51</formula>
      <formula>0.75</formula>
    </cfRule>
    <cfRule type="cellIs" dxfId="4606" priority="4884" operator="greaterThan">
      <formula>1</formula>
    </cfRule>
    <cfRule type="cellIs" dxfId="4605" priority="4885" operator="between">
      <formula>0.95</formula>
      <formula>1</formula>
    </cfRule>
    <cfRule type="cellIs" dxfId="4604" priority="4886" stopIfTrue="1" operator="between">
      <formula>0</formula>
      <formula>0.5</formula>
    </cfRule>
  </conditionalFormatting>
  <conditionalFormatting sqref="R68">
    <cfRule type="cellIs" dxfId="4603" priority="4877" operator="between">
      <formula>0.76</formula>
      <formula>0.95</formula>
    </cfRule>
    <cfRule type="cellIs" dxfId="4602" priority="4878" operator="between">
      <formula>0.51</formula>
      <formula>0.75</formula>
    </cfRule>
    <cfRule type="cellIs" dxfId="4601" priority="4879" operator="greaterThan">
      <formula>1</formula>
    </cfRule>
    <cfRule type="cellIs" dxfId="4600" priority="4880" operator="between">
      <formula>0.95</formula>
      <formula>1</formula>
    </cfRule>
    <cfRule type="cellIs" dxfId="4599" priority="4881" stopIfTrue="1" operator="between">
      <formula>0</formula>
      <formula>0.5</formula>
    </cfRule>
  </conditionalFormatting>
  <conditionalFormatting sqref="R69">
    <cfRule type="cellIs" dxfId="4598" priority="4872" operator="between">
      <formula>0.76</formula>
      <formula>0.95</formula>
    </cfRule>
    <cfRule type="cellIs" dxfId="4597" priority="4873" operator="between">
      <formula>0.51</formula>
      <formula>0.75</formula>
    </cfRule>
    <cfRule type="cellIs" dxfId="4596" priority="4874" operator="greaterThan">
      <formula>1</formula>
    </cfRule>
    <cfRule type="cellIs" dxfId="4595" priority="4875" operator="between">
      <formula>0.95</formula>
      <formula>1</formula>
    </cfRule>
    <cfRule type="cellIs" dxfId="4594" priority="4876" stopIfTrue="1" operator="between">
      <formula>0</formula>
      <formula>0.5</formula>
    </cfRule>
  </conditionalFormatting>
  <conditionalFormatting sqref="R70">
    <cfRule type="cellIs" dxfId="4593" priority="4867" operator="between">
      <formula>0.76</formula>
      <formula>0.95</formula>
    </cfRule>
    <cfRule type="cellIs" dxfId="4592" priority="4868" operator="between">
      <formula>0.51</formula>
      <formula>0.75</formula>
    </cfRule>
    <cfRule type="cellIs" dxfId="4591" priority="4869" operator="greaterThan">
      <formula>1</formula>
    </cfRule>
    <cfRule type="cellIs" dxfId="4590" priority="4870" operator="between">
      <formula>0.95</formula>
      <formula>1</formula>
    </cfRule>
    <cfRule type="cellIs" dxfId="4589" priority="4871" stopIfTrue="1" operator="between">
      <formula>0</formula>
      <formula>0.5</formula>
    </cfRule>
  </conditionalFormatting>
  <conditionalFormatting sqref="R71">
    <cfRule type="cellIs" dxfId="4588" priority="4862" operator="between">
      <formula>0.76</formula>
      <formula>0.95</formula>
    </cfRule>
    <cfRule type="cellIs" dxfId="4587" priority="4863" operator="between">
      <formula>0.51</formula>
      <formula>0.75</formula>
    </cfRule>
    <cfRule type="cellIs" dxfId="4586" priority="4864" operator="greaterThan">
      <formula>1</formula>
    </cfRule>
    <cfRule type="cellIs" dxfId="4585" priority="4865" operator="between">
      <formula>0.95</formula>
      <formula>1</formula>
    </cfRule>
    <cfRule type="cellIs" dxfId="4584" priority="4866" stopIfTrue="1" operator="between">
      <formula>0</formula>
      <formula>0.5</formula>
    </cfRule>
  </conditionalFormatting>
  <conditionalFormatting sqref="R72">
    <cfRule type="cellIs" dxfId="4583" priority="4857" operator="between">
      <formula>0.76</formula>
      <formula>0.95</formula>
    </cfRule>
    <cfRule type="cellIs" dxfId="4582" priority="4858" operator="between">
      <formula>0.51</formula>
      <formula>0.75</formula>
    </cfRule>
    <cfRule type="cellIs" dxfId="4581" priority="4859" operator="greaterThan">
      <formula>1</formula>
    </cfRule>
    <cfRule type="cellIs" dxfId="4580" priority="4860" operator="between">
      <formula>0.95</formula>
      <formula>1</formula>
    </cfRule>
    <cfRule type="cellIs" dxfId="4579" priority="4861" stopIfTrue="1" operator="between">
      <formula>0</formula>
      <formula>0.5</formula>
    </cfRule>
  </conditionalFormatting>
  <conditionalFormatting sqref="R73">
    <cfRule type="cellIs" dxfId="4578" priority="4852" operator="between">
      <formula>0.76</formula>
      <formula>0.95</formula>
    </cfRule>
    <cfRule type="cellIs" dxfId="4577" priority="4853" operator="between">
      <formula>0.51</formula>
      <formula>0.75</formula>
    </cfRule>
    <cfRule type="cellIs" dxfId="4576" priority="4854" operator="greaterThan">
      <formula>1</formula>
    </cfRule>
    <cfRule type="cellIs" dxfId="4575" priority="4855" operator="between">
      <formula>0.95</formula>
      <formula>1</formula>
    </cfRule>
    <cfRule type="cellIs" dxfId="4574" priority="4856" stopIfTrue="1" operator="between">
      <formula>0</formula>
      <formula>0.5</formula>
    </cfRule>
  </conditionalFormatting>
  <conditionalFormatting sqref="R74">
    <cfRule type="cellIs" dxfId="4573" priority="4847" operator="between">
      <formula>0.76</formula>
      <formula>0.95</formula>
    </cfRule>
    <cfRule type="cellIs" dxfId="4572" priority="4848" operator="between">
      <formula>0.51</formula>
      <formula>0.75</formula>
    </cfRule>
    <cfRule type="cellIs" dxfId="4571" priority="4849" operator="greaterThan">
      <formula>1</formula>
    </cfRule>
    <cfRule type="cellIs" dxfId="4570" priority="4850" operator="between">
      <formula>0.95</formula>
      <formula>1</formula>
    </cfRule>
    <cfRule type="cellIs" dxfId="4569" priority="4851" stopIfTrue="1" operator="between">
      <formula>0</formula>
      <formula>0.5</formula>
    </cfRule>
  </conditionalFormatting>
  <conditionalFormatting sqref="R75">
    <cfRule type="cellIs" dxfId="4568" priority="4842" operator="between">
      <formula>0.76</formula>
      <formula>0.95</formula>
    </cfRule>
    <cfRule type="cellIs" dxfId="4567" priority="4843" operator="between">
      <formula>0.51</formula>
      <formula>0.75</formula>
    </cfRule>
    <cfRule type="cellIs" dxfId="4566" priority="4844" operator="greaterThan">
      <formula>1</formula>
    </cfRule>
    <cfRule type="cellIs" dxfId="4565" priority="4845" operator="between">
      <formula>0.95</formula>
      <formula>1</formula>
    </cfRule>
    <cfRule type="cellIs" dxfId="4564" priority="4846" stopIfTrue="1" operator="between">
      <formula>0</formula>
      <formula>0.5</formula>
    </cfRule>
  </conditionalFormatting>
  <conditionalFormatting sqref="R78">
    <cfRule type="cellIs" dxfId="4563" priority="4837" operator="between">
      <formula>0.76</formula>
      <formula>0.95</formula>
    </cfRule>
    <cfRule type="cellIs" dxfId="4562" priority="4838" operator="between">
      <formula>0.51</formula>
      <formula>0.75</formula>
    </cfRule>
    <cfRule type="cellIs" dxfId="4561" priority="4839" operator="greaterThan">
      <formula>1</formula>
    </cfRule>
    <cfRule type="cellIs" dxfId="4560" priority="4840" operator="between">
      <formula>0.95</formula>
      <formula>1</formula>
    </cfRule>
    <cfRule type="cellIs" dxfId="4559" priority="4841" stopIfTrue="1" operator="between">
      <formula>0</formula>
      <formula>0.5</formula>
    </cfRule>
  </conditionalFormatting>
  <conditionalFormatting sqref="R79">
    <cfRule type="cellIs" dxfId="4558" priority="4832" operator="between">
      <formula>0.76</formula>
      <formula>0.95</formula>
    </cfRule>
    <cfRule type="cellIs" dxfId="4557" priority="4833" operator="between">
      <formula>0.51</formula>
      <formula>0.75</formula>
    </cfRule>
    <cfRule type="cellIs" dxfId="4556" priority="4834" operator="greaterThan">
      <formula>1</formula>
    </cfRule>
    <cfRule type="cellIs" dxfId="4555" priority="4835" operator="between">
      <formula>0.95</formula>
      <formula>1</formula>
    </cfRule>
    <cfRule type="cellIs" dxfId="4554" priority="4836" stopIfTrue="1" operator="between">
      <formula>0</formula>
      <formula>0.5</formula>
    </cfRule>
  </conditionalFormatting>
  <conditionalFormatting sqref="R80">
    <cfRule type="cellIs" dxfId="4553" priority="4827" operator="between">
      <formula>0.76</formula>
      <formula>0.95</formula>
    </cfRule>
    <cfRule type="cellIs" dxfId="4552" priority="4828" operator="between">
      <formula>0.51</formula>
      <formula>0.75</formula>
    </cfRule>
    <cfRule type="cellIs" dxfId="4551" priority="4829" operator="greaterThan">
      <formula>1</formula>
    </cfRule>
    <cfRule type="cellIs" dxfId="4550" priority="4830" operator="between">
      <formula>0.95</formula>
      <formula>1</formula>
    </cfRule>
    <cfRule type="cellIs" dxfId="4549" priority="4831" stopIfTrue="1" operator="between">
      <formula>0</formula>
      <formula>0.5</formula>
    </cfRule>
  </conditionalFormatting>
  <conditionalFormatting sqref="R81">
    <cfRule type="cellIs" dxfId="4548" priority="4822" operator="between">
      <formula>0.76</formula>
      <formula>0.95</formula>
    </cfRule>
    <cfRule type="cellIs" dxfId="4547" priority="4823" operator="between">
      <formula>0.51</formula>
      <formula>0.75</formula>
    </cfRule>
    <cfRule type="cellIs" dxfId="4546" priority="4824" operator="greaterThan">
      <formula>1</formula>
    </cfRule>
    <cfRule type="cellIs" dxfId="4545" priority="4825" operator="between">
      <formula>0.95</formula>
      <formula>1</formula>
    </cfRule>
    <cfRule type="cellIs" dxfId="4544" priority="4826" stopIfTrue="1" operator="between">
      <formula>0</formula>
      <formula>0.5</formula>
    </cfRule>
  </conditionalFormatting>
  <conditionalFormatting sqref="R82">
    <cfRule type="cellIs" dxfId="4543" priority="4817" operator="between">
      <formula>0.76</formula>
      <formula>0.95</formula>
    </cfRule>
    <cfRule type="cellIs" dxfId="4542" priority="4818" operator="between">
      <formula>0.51</formula>
      <formula>0.75</formula>
    </cfRule>
    <cfRule type="cellIs" dxfId="4541" priority="4819" operator="greaterThan">
      <formula>1</formula>
    </cfRule>
    <cfRule type="cellIs" dxfId="4540" priority="4820" operator="between">
      <formula>0.95</formula>
      <formula>1</formula>
    </cfRule>
    <cfRule type="cellIs" dxfId="4539" priority="4821" stopIfTrue="1" operator="between">
      <formula>0</formula>
      <formula>0.5</formula>
    </cfRule>
  </conditionalFormatting>
  <conditionalFormatting sqref="R83">
    <cfRule type="cellIs" dxfId="4538" priority="4812" operator="between">
      <formula>0.76</formula>
      <formula>0.95</formula>
    </cfRule>
    <cfRule type="cellIs" dxfId="4537" priority="4813" operator="between">
      <formula>0.51</formula>
      <formula>0.75</formula>
    </cfRule>
    <cfRule type="cellIs" dxfId="4536" priority="4814" operator="greaterThan">
      <formula>1</formula>
    </cfRule>
    <cfRule type="cellIs" dxfId="4535" priority="4815" operator="between">
      <formula>0.95</formula>
      <formula>1</formula>
    </cfRule>
    <cfRule type="cellIs" dxfId="4534" priority="4816" stopIfTrue="1" operator="between">
      <formula>0</formula>
      <formula>0.5</formula>
    </cfRule>
  </conditionalFormatting>
  <conditionalFormatting sqref="R88">
    <cfRule type="cellIs" dxfId="4533" priority="4807" operator="between">
      <formula>0.76</formula>
      <formula>0.95</formula>
    </cfRule>
    <cfRule type="cellIs" dxfId="4532" priority="4808" operator="between">
      <formula>0.51</formula>
      <formula>0.75</formula>
    </cfRule>
    <cfRule type="cellIs" dxfId="4531" priority="4809" operator="greaterThan">
      <formula>1</formula>
    </cfRule>
    <cfRule type="cellIs" dxfId="4530" priority="4810" operator="between">
      <formula>0.95</formula>
      <formula>1</formula>
    </cfRule>
    <cfRule type="cellIs" dxfId="4529" priority="4811" stopIfTrue="1" operator="between">
      <formula>0</formula>
      <formula>0.5</formula>
    </cfRule>
  </conditionalFormatting>
  <conditionalFormatting sqref="R91">
    <cfRule type="cellIs" dxfId="4528" priority="4802" operator="between">
      <formula>0.76</formula>
      <formula>0.95</formula>
    </cfRule>
    <cfRule type="cellIs" dxfId="4527" priority="4803" operator="between">
      <formula>0.51</formula>
      <formula>0.75</formula>
    </cfRule>
    <cfRule type="cellIs" dxfId="4526" priority="4804" operator="greaterThan">
      <formula>1</formula>
    </cfRule>
    <cfRule type="cellIs" dxfId="4525" priority="4805" operator="between">
      <formula>0.95</formula>
      <formula>1</formula>
    </cfRule>
    <cfRule type="cellIs" dxfId="4524" priority="4806" stopIfTrue="1" operator="between">
      <formula>0</formula>
      <formula>0.5</formula>
    </cfRule>
  </conditionalFormatting>
  <conditionalFormatting sqref="R92">
    <cfRule type="cellIs" dxfId="4523" priority="4797" operator="between">
      <formula>0.76</formula>
      <formula>0.95</formula>
    </cfRule>
    <cfRule type="cellIs" dxfId="4522" priority="4798" operator="between">
      <formula>0.51</formula>
      <formula>0.75</formula>
    </cfRule>
    <cfRule type="cellIs" dxfId="4521" priority="4799" operator="greaterThan">
      <formula>1</formula>
    </cfRule>
    <cfRule type="cellIs" dxfId="4520" priority="4800" operator="between">
      <formula>0.95</formula>
      <formula>1</formula>
    </cfRule>
    <cfRule type="cellIs" dxfId="4519" priority="4801" stopIfTrue="1" operator="between">
      <formula>0</formula>
      <formula>0.5</formula>
    </cfRule>
  </conditionalFormatting>
  <conditionalFormatting sqref="R93">
    <cfRule type="cellIs" dxfId="4518" priority="4792" operator="between">
      <formula>0.76</formula>
      <formula>0.95</formula>
    </cfRule>
    <cfRule type="cellIs" dxfId="4517" priority="4793" operator="between">
      <formula>0.51</formula>
      <formula>0.75</formula>
    </cfRule>
    <cfRule type="cellIs" dxfId="4516" priority="4794" operator="greaterThan">
      <formula>1</formula>
    </cfRule>
    <cfRule type="cellIs" dxfId="4515" priority="4795" operator="between">
      <formula>0.95</formula>
      <formula>1</formula>
    </cfRule>
    <cfRule type="cellIs" dxfId="4514" priority="4796" stopIfTrue="1" operator="between">
      <formula>0</formula>
      <formula>0.5</formula>
    </cfRule>
  </conditionalFormatting>
  <conditionalFormatting sqref="R94">
    <cfRule type="cellIs" dxfId="4513" priority="4787" operator="between">
      <formula>0.76</formula>
      <formula>0.95</formula>
    </cfRule>
    <cfRule type="cellIs" dxfId="4512" priority="4788" operator="between">
      <formula>0.51</formula>
      <formula>0.75</formula>
    </cfRule>
    <cfRule type="cellIs" dxfId="4511" priority="4789" operator="greaterThan">
      <formula>1</formula>
    </cfRule>
    <cfRule type="cellIs" dxfId="4510" priority="4790" operator="between">
      <formula>0.95</formula>
      <formula>1</formula>
    </cfRule>
    <cfRule type="cellIs" dxfId="4509" priority="4791" stopIfTrue="1" operator="between">
      <formula>0</formula>
      <formula>0.5</formula>
    </cfRule>
  </conditionalFormatting>
  <conditionalFormatting sqref="R95">
    <cfRule type="cellIs" dxfId="4508" priority="4782" operator="between">
      <formula>0.76</formula>
      <formula>0.95</formula>
    </cfRule>
    <cfRule type="cellIs" dxfId="4507" priority="4783" operator="between">
      <formula>0.51</formula>
      <formula>0.75</formula>
    </cfRule>
    <cfRule type="cellIs" dxfId="4506" priority="4784" operator="greaterThan">
      <formula>1</formula>
    </cfRule>
    <cfRule type="cellIs" dxfId="4505" priority="4785" operator="between">
      <formula>0.95</formula>
      <formula>1</formula>
    </cfRule>
    <cfRule type="cellIs" dxfId="4504" priority="4786" stopIfTrue="1" operator="between">
      <formula>0</formula>
      <formula>0.5</formula>
    </cfRule>
  </conditionalFormatting>
  <conditionalFormatting sqref="R96">
    <cfRule type="cellIs" dxfId="4503" priority="4777" operator="between">
      <formula>0.76</formula>
      <formula>0.95</formula>
    </cfRule>
    <cfRule type="cellIs" dxfId="4502" priority="4778" operator="between">
      <formula>0.51</formula>
      <formula>0.75</formula>
    </cfRule>
    <cfRule type="cellIs" dxfId="4501" priority="4779" operator="greaterThan">
      <formula>1</formula>
    </cfRule>
    <cfRule type="cellIs" dxfId="4500" priority="4780" operator="between">
      <formula>0.95</formula>
      <formula>1</formula>
    </cfRule>
    <cfRule type="cellIs" dxfId="4499" priority="4781" stopIfTrue="1" operator="between">
      <formula>0</formula>
      <formula>0.5</formula>
    </cfRule>
  </conditionalFormatting>
  <conditionalFormatting sqref="R98">
    <cfRule type="cellIs" dxfId="4498" priority="4772" operator="between">
      <formula>0.76</formula>
      <formula>0.95</formula>
    </cfRule>
    <cfRule type="cellIs" dxfId="4497" priority="4773" operator="between">
      <formula>0.51</formula>
      <formula>0.75</formula>
    </cfRule>
    <cfRule type="cellIs" dxfId="4496" priority="4774" operator="greaterThan">
      <formula>1</formula>
    </cfRule>
    <cfRule type="cellIs" dxfId="4495" priority="4775" operator="between">
      <formula>0.95</formula>
      <formula>1</formula>
    </cfRule>
    <cfRule type="cellIs" dxfId="4494" priority="4776" stopIfTrue="1" operator="between">
      <formula>0</formula>
      <formula>0.5</formula>
    </cfRule>
  </conditionalFormatting>
  <conditionalFormatting sqref="R99">
    <cfRule type="cellIs" dxfId="4493" priority="4762" operator="between">
      <formula>0.76</formula>
      <formula>0.95</formula>
    </cfRule>
    <cfRule type="cellIs" dxfId="4492" priority="4763" operator="between">
      <formula>0.51</formula>
      <formula>0.75</formula>
    </cfRule>
    <cfRule type="cellIs" dxfId="4491" priority="4764" operator="greaterThan">
      <formula>1</formula>
    </cfRule>
    <cfRule type="cellIs" dxfId="4490" priority="4765" operator="between">
      <formula>0.95</formula>
      <formula>1</formula>
    </cfRule>
    <cfRule type="cellIs" dxfId="4489" priority="4766" stopIfTrue="1" operator="between">
      <formula>0</formula>
      <formula>0.5</formula>
    </cfRule>
  </conditionalFormatting>
  <conditionalFormatting sqref="R101">
    <cfRule type="cellIs" dxfId="4488" priority="4752" operator="between">
      <formula>0.76</formula>
      <formula>0.95</formula>
    </cfRule>
    <cfRule type="cellIs" dxfId="4487" priority="4753" operator="between">
      <formula>0.51</formula>
      <formula>0.75</formula>
    </cfRule>
    <cfRule type="cellIs" dxfId="4486" priority="4754" operator="greaterThan">
      <formula>1</formula>
    </cfRule>
    <cfRule type="cellIs" dxfId="4485" priority="4755" operator="between">
      <formula>0.95</formula>
      <formula>1</formula>
    </cfRule>
    <cfRule type="cellIs" dxfId="4484" priority="4756" stopIfTrue="1" operator="between">
      <formula>0</formula>
      <formula>0.5</formula>
    </cfRule>
  </conditionalFormatting>
  <conditionalFormatting sqref="R103">
    <cfRule type="cellIs" dxfId="4483" priority="4742" operator="between">
      <formula>0.76</formula>
      <formula>0.95</formula>
    </cfRule>
    <cfRule type="cellIs" dxfId="4482" priority="4743" operator="between">
      <formula>0.51</formula>
      <formula>0.75</formula>
    </cfRule>
    <cfRule type="cellIs" dxfId="4481" priority="4744" operator="greaterThan">
      <formula>1</formula>
    </cfRule>
    <cfRule type="cellIs" dxfId="4480" priority="4745" operator="between">
      <formula>0.95</formula>
      <formula>1</formula>
    </cfRule>
    <cfRule type="cellIs" dxfId="4479" priority="4746" stopIfTrue="1" operator="between">
      <formula>0</formula>
      <formula>0.5</formula>
    </cfRule>
  </conditionalFormatting>
  <conditionalFormatting sqref="R104">
    <cfRule type="cellIs" dxfId="4478" priority="4737" operator="between">
      <formula>0.76</formula>
      <formula>0.95</formula>
    </cfRule>
    <cfRule type="cellIs" dxfId="4477" priority="4738" operator="between">
      <formula>0.51</formula>
      <formula>0.75</formula>
    </cfRule>
    <cfRule type="cellIs" dxfId="4476" priority="4739" operator="greaterThan">
      <formula>1</formula>
    </cfRule>
    <cfRule type="cellIs" dxfId="4475" priority="4740" operator="between">
      <formula>0.95</formula>
      <formula>1</formula>
    </cfRule>
    <cfRule type="cellIs" dxfId="4474" priority="4741" stopIfTrue="1" operator="between">
      <formula>0</formula>
      <formula>0.5</formula>
    </cfRule>
  </conditionalFormatting>
  <conditionalFormatting sqref="R105">
    <cfRule type="cellIs" dxfId="4473" priority="4732" operator="between">
      <formula>0.76</formula>
      <formula>0.95</formula>
    </cfRule>
    <cfRule type="cellIs" dxfId="4472" priority="4733" operator="between">
      <formula>0.51</formula>
      <formula>0.75</formula>
    </cfRule>
    <cfRule type="cellIs" dxfId="4471" priority="4734" operator="greaterThan">
      <formula>1</formula>
    </cfRule>
    <cfRule type="cellIs" dxfId="4470" priority="4735" operator="between">
      <formula>0.95</formula>
      <formula>1</formula>
    </cfRule>
    <cfRule type="cellIs" dxfId="4469" priority="4736" stopIfTrue="1" operator="between">
      <formula>0</formula>
      <formula>0.5</formula>
    </cfRule>
  </conditionalFormatting>
  <conditionalFormatting sqref="R106">
    <cfRule type="cellIs" dxfId="4468" priority="4727" operator="between">
      <formula>0.76</formula>
      <formula>0.95</formula>
    </cfRule>
    <cfRule type="cellIs" dxfId="4467" priority="4728" operator="between">
      <formula>0.51</formula>
      <formula>0.75</formula>
    </cfRule>
    <cfRule type="cellIs" dxfId="4466" priority="4729" operator="greaterThan">
      <formula>1</formula>
    </cfRule>
    <cfRule type="cellIs" dxfId="4465" priority="4730" operator="between">
      <formula>0.95</formula>
      <formula>1</formula>
    </cfRule>
    <cfRule type="cellIs" dxfId="4464" priority="4731" stopIfTrue="1" operator="between">
      <formula>0</formula>
      <formula>0.5</formula>
    </cfRule>
  </conditionalFormatting>
  <conditionalFormatting sqref="R107">
    <cfRule type="cellIs" dxfId="4463" priority="4722" operator="between">
      <formula>0.76</formula>
      <formula>0.95</formula>
    </cfRule>
    <cfRule type="cellIs" dxfId="4462" priority="4723" operator="between">
      <formula>0.51</formula>
      <formula>0.75</formula>
    </cfRule>
    <cfRule type="cellIs" dxfId="4461" priority="4724" operator="greaterThan">
      <formula>1</formula>
    </cfRule>
    <cfRule type="cellIs" dxfId="4460" priority="4725" operator="between">
      <formula>0.95</formula>
      <formula>1</formula>
    </cfRule>
    <cfRule type="cellIs" dxfId="4459" priority="4726" stopIfTrue="1" operator="between">
      <formula>0</formula>
      <formula>0.5</formula>
    </cfRule>
  </conditionalFormatting>
  <conditionalFormatting sqref="R108:R109">
    <cfRule type="cellIs" dxfId="4458" priority="4717" operator="between">
      <formula>0.76</formula>
      <formula>0.95</formula>
    </cfRule>
    <cfRule type="cellIs" dxfId="4457" priority="4718" operator="between">
      <formula>0.51</formula>
      <formula>0.75</formula>
    </cfRule>
    <cfRule type="cellIs" dxfId="4456" priority="4719" operator="greaterThan">
      <formula>1</formula>
    </cfRule>
    <cfRule type="cellIs" dxfId="4455" priority="4720" operator="between">
      <formula>0.95</formula>
      <formula>1</formula>
    </cfRule>
    <cfRule type="cellIs" dxfId="4454" priority="4721" stopIfTrue="1" operator="between">
      <formula>0</formula>
      <formula>0.5</formula>
    </cfRule>
  </conditionalFormatting>
  <conditionalFormatting sqref="R110">
    <cfRule type="cellIs" dxfId="4453" priority="4712" operator="between">
      <formula>0.76</formula>
      <formula>0.95</formula>
    </cfRule>
    <cfRule type="cellIs" dxfId="4452" priority="4713" operator="between">
      <formula>0.51</formula>
      <formula>0.75</formula>
    </cfRule>
    <cfRule type="cellIs" dxfId="4451" priority="4714" operator="greaterThan">
      <formula>1</formula>
    </cfRule>
    <cfRule type="cellIs" dxfId="4450" priority="4715" operator="between">
      <formula>0.95</formula>
      <formula>1</formula>
    </cfRule>
    <cfRule type="cellIs" dxfId="4449" priority="4716" stopIfTrue="1" operator="between">
      <formula>0</formula>
      <formula>0.5</formula>
    </cfRule>
  </conditionalFormatting>
  <conditionalFormatting sqref="R111">
    <cfRule type="cellIs" dxfId="4448" priority="4707" operator="between">
      <formula>0.76</formula>
      <formula>0.95</formula>
    </cfRule>
    <cfRule type="cellIs" dxfId="4447" priority="4708" operator="between">
      <formula>0.51</formula>
      <formula>0.75</formula>
    </cfRule>
    <cfRule type="cellIs" dxfId="4446" priority="4709" operator="greaterThan">
      <formula>1</formula>
    </cfRule>
    <cfRule type="cellIs" dxfId="4445" priority="4710" operator="between">
      <formula>0.95</formula>
      <formula>1</formula>
    </cfRule>
    <cfRule type="cellIs" dxfId="4444" priority="4711" stopIfTrue="1" operator="between">
      <formula>0</formula>
      <formula>0.5</formula>
    </cfRule>
  </conditionalFormatting>
  <conditionalFormatting sqref="R112">
    <cfRule type="cellIs" dxfId="4443" priority="4702" operator="between">
      <formula>0.76</formula>
      <formula>0.95</formula>
    </cfRule>
    <cfRule type="cellIs" dxfId="4442" priority="4703" operator="between">
      <formula>0.51</formula>
      <formula>0.75</formula>
    </cfRule>
    <cfRule type="cellIs" dxfId="4441" priority="4704" operator="greaterThan">
      <formula>1</formula>
    </cfRule>
    <cfRule type="cellIs" dxfId="4440" priority="4705" operator="between">
      <formula>0.95</formula>
      <formula>1</formula>
    </cfRule>
    <cfRule type="cellIs" dxfId="4439" priority="4706" stopIfTrue="1" operator="between">
      <formula>0</formula>
      <formula>0.5</formula>
    </cfRule>
  </conditionalFormatting>
  <conditionalFormatting sqref="R113">
    <cfRule type="cellIs" dxfId="4438" priority="4697" operator="between">
      <formula>0.76</formula>
      <formula>0.95</formula>
    </cfRule>
    <cfRule type="cellIs" dxfId="4437" priority="4698" operator="between">
      <formula>0.51</formula>
      <formula>0.75</formula>
    </cfRule>
    <cfRule type="cellIs" dxfId="4436" priority="4699" operator="greaterThan">
      <formula>1</formula>
    </cfRule>
    <cfRule type="cellIs" dxfId="4435" priority="4700" operator="between">
      <formula>0.95</formula>
      <formula>1</formula>
    </cfRule>
    <cfRule type="cellIs" dxfId="4434" priority="4701" stopIfTrue="1" operator="between">
      <formula>0</formula>
      <formula>0.5</formula>
    </cfRule>
  </conditionalFormatting>
  <conditionalFormatting sqref="R114">
    <cfRule type="cellIs" dxfId="4433" priority="4687" operator="between">
      <formula>0.76</formula>
      <formula>0.95</formula>
    </cfRule>
    <cfRule type="cellIs" dxfId="4432" priority="4688" operator="between">
      <formula>0.51</formula>
      <formula>0.75</formula>
    </cfRule>
    <cfRule type="cellIs" dxfId="4431" priority="4689" operator="greaterThan">
      <formula>1</formula>
    </cfRule>
    <cfRule type="cellIs" dxfId="4430" priority="4690" operator="between">
      <formula>0.95</formula>
      <formula>1</formula>
    </cfRule>
    <cfRule type="cellIs" dxfId="4429" priority="4691" stopIfTrue="1" operator="between">
      <formula>0</formula>
      <formula>0.5</formula>
    </cfRule>
  </conditionalFormatting>
  <conditionalFormatting sqref="R115">
    <cfRule type="cellIs" dxfId="4428" priority="4682" operator="between">
      <formula>0.76</formula>
      <formula>0.95</formula>
    </cfRule>
    <cfRule type="cellIs" dxfId="4427" priority="4683" operator="between">
      <formula>0.51</formula>
      <formula>0.75</formula>
    </cfRule>
    <cfRule type="cellIs" dxfId="4426" priority="4684" operator="greaterThan">
      <formula>1</formula>
    </cfRule>
    <cfRule type="cellIs" dxfId="4425" priority="4685" operator="between">
      <formula>0.95</formula>
      <formula>1</formula>
    </cfRule>
    <cfRule type="cellIs" dxfId="4424" priority="4686" stopIfTrue="1" operator="between">
      <formula>0</formula>
      <formula>0.5</formula>
    </cfRule>
  </conditionalFormatting>
  <conditionalFormatting sqref="R116">
    <cfRule type="cellIs" dxfId="4423" priority="4677" operator="between">
      <formula>0.76</formula>
      <formula>0.95</formula>
    </cfRule>
    <cfRule type="cellIs" dxfId="4422" priority="4678" operator="between">
      <formula>0.51</formula>
      <formula>0.75</formula>
    </cfRule>
    <cfRule type="cellIs" dxfId="4421" priority="4679" operator="greaterThan">
      <formula>1</formula>
    </cfRule>
    <cfRule type="cellIs" dxfId="4420" priority="4680" operator="between">
      <formula>0.95</formula>
      <formula>1</formula>
    </cfRule>
    <cfRule type="cellIs" dxfId="4419" priority="4681" stopIfTrue="1" operator="between">
      <formula>0</formula>
      <formula>0.5</formula>
    </cfRule>
  </conditionalFormatting>
  <conditionalFormatting sqref="R117">
    <cfRule type="cellIs" dxfId="4418" priority="4672" operator="between">
      <formula>0.76</formula>
      <formula>0.95</formula>
    </cfRule>
    <cfRule type="cellIs" dxfId="4417" priority="4673" operator="between">
      <formula>0.51</formula>
      <formula>0.75</formula>
    </cfRule>
    <cfRule type="cellIs" dxfId="4416" priority="4674" operator="greaterThan">
      <formula>1</formula>
    </cfRule>
    <cfRule type="cellIs" dxfId="4415" priority="4675" operator="between">
      <formula>0.95</formula>
      <formula>1</formula>
    </cfRule>
    <cfRule type="cellIs" dxfId="4414" priority="4676" stopIfTrue="1" operator="between">
      <formula>0</formula>
      <formula>0.5</formula>
    </cfRule>
  </conditionalFormatting>
  <conditionalFormatting sqref="R118">
    <cfRule type="cellIs" dxfId="4413" priority="4667" operator="between">
      <formula>0.76</formula>
      <formula>0.95</formula>
    </cfRule>
    <cfRule type="cellIs" dxfId="4412" priority="4668" operator="between">
      <formula>0.51</formula>
      <formula>0.75</formula>
    </cfRule>
    <cfRule type="cellIs" dxfId="4411" priority="4669" operator="greaterThan">
      <formula>1</formula>
    </cfRule>
    <cfRule type="cellIs" dxfId="4410" priority="4670" operator="between">
      <formula>0.95</formula>
      <formula>1</formula>
    </cfRule>
    <cfRule type="cellIs" dxfId="4409" priority="4671" stopIfTrue="1" operator="between">
      <formula>0</formula>
      <formula>0.5</formula>
    </cfRule>
  </conditionalFormatting>
  <conditionalFormatting sqref="R119">
    <cfRule type="cellIs" dxfId="4408" priority="4662" operator="between">
      <formula>0.76</formula>
      <formula>0.95</formula>
    </cfRule>
    <cfRule type="cellIs" dxfId="4407" priority="4663" operator="between">
      <formula>0.51</formula>
      <formula>0.75</formula>
    </cfRule>
    <cfRule type="cellIs" dxfId="4406" priority="4664" operator="greaterThan">
      <formula>1</formula>
    </cfRule>
    <cfRule type="cellIs" dxfId="4405" priority="4665" operator="between">
      <formula>0.95</formula>
      <formula>1</formula>
    </cfRule>
    <cfRule type="cellIs" dxfId="4404" priority="4666" stopIfTrue="1" operator="between">
      <formula>0</formula>
      <formula>0.5</formula>
    </cfRule>
  </conditionalFormatting>
  <conditionalFormatting sqref="R120">
    <cfRule type="cellIs" dxfId="4403" priority="4657" operator="between">
      <formula>0.76</formula>
      <formula>0.95</formula>
    </cfRule>
    <cfRule type="cellIs" dxfId="4402" priority="4658" operator="between">
      <formula>0.51</formula>
      <formula>0.75</formula>
    </cfRule>
    <cfRule type="cellIs" dxfId="4401" priority="4659" operator="greaterThan">
      <formula>1</formula>
    </cfRule>
    <cfRule type="cellIs" dxfId="4400" priority="4660" operator="between">
      <formula>0.95</formula>
      <formula>1</formula>
    </cfRule>
    <cfRule type="cellIs" dxfId="4399" priority="4661" stopIfTrue="1" operator="between">
      <formula>0</formula>
      <formula>0.5</formula>
    </cfRule>
  </conditionalFormatting>
  <conditionalFormatting sqref="R121">
    <cfRule type="cellIs" dxfId="4398" priority="4652" operator="between">
      <formula>0.76</formula>
      <formula>0.95</formula>
    </cfRule>
    <cfRule type="cellIs" dxfId="4397" priority="4653" operator="between">
      <formula>0.51</formula>
      <formula>0.75</formula>
    </cfRule>
    <cfRule type="cellIs" dxfId="4396" priority="4654" operator="greaterThan">
      <formula>1</formula>
    </cfRule>
    <cfRule type="cellIs" dxfId="4395" priority="4655" operator="between">
      <formula>0.95</formula>
      <formula>1</formula>
    </cfRule>
    <cfRule type="cellIs" dxfId="4394" priority="4656" stopIfTrue="1" operator="between">
      <formula>0</formula>
      <formula>0.5</formula>
    </cfRule>
  </conditionalFormatting>
  <conditionalFormatting sqref="R122">
    <cfRule type="cellIs" dxfId="4393" priority="4647" operator="between">
      <formula>0.76</formula>
      <formula>0.95</formula>
    </cfRule>
    <cfRule type="cellIs" dxfId="4392" priority="4648" operator="between">
      <formula>0.51</formula>
      <formula>0.75</formula>
    </cfRule>
    <cfRule type="cellIs" dxfId="4391" priority="4649" operator="greaterThan">
      <formula>1</formula>
    </cfRule>
    <cfRule type="cellIs" dxfId="4390" priority="4650" operator="between">
      <formula>0.95</formula>
      <formula>1</formula>
    </cfRule>
    <cfRule type="cellIs" dxfId="4389" priority="4651" stopIfTrue="1" operator="between">
      <formula>0</formula>
      <formula>0.5</formula>
    </cfRule>
  </conditionalFormatting>
  <conditionalFormatting sqref="R123">
    <cfRule type="cellIs" dxfId="4388" priority="4642" operator="between">
      <formula>0.76</formula>
      <formula>0.95</formula>
    </cfRule>
    <cfRule type="cellIs" dxfId="4387" priority="4643" operator="between">
      <formula>0.51</formula>
      <formula>0.75</formula>
    </cfRule>
    <cfRule type="cellIs" dxfId="4386" priority="4644" operator="greaterThan">
      <formula>1</formula>
    </cfRule>
    <cfRule type="cellIs" dxfId="4385" priority="4645" operator="between">
      <formula>0.95</formula>
      <formula>1</formula>
    </cfRule>
    <cfRule type="cellIs" dxfId="4384" priority="4646" stopIfTrue="1" operator="between">
      <formula>0</formula>
      <formula>0.5</formula>
    </cfRule>
  </conditionalFormatting>
  <conditionalFormatting sqref="R124">
    <cfRule type="cellIs" dxfId="4383" priority="4637" operator="between">
      <formula>0.76</formula>
      <formula>0.95</formula>
    </cfRule>
    <cfRule type="cellIs" dxfId="4382" priority="4638" operator="between">
      <formula>0.51</formula>
      <formula>0.75</formula>
    </cfRule>
    <cfRule type="cellIs" dxfId="4381" priority="4639" operator="greaterThan">
      <formula>1</formula>
    </cfRule>
    <cfRule type="cellIs" dxfId="4380" priority="4640" operator="between">
      <formula>0.95</formula>
      <formula>1</formula>
    </cfRule>
    <cfRule type="cellIs" dxfId="4379" priority="4641" stopIfTrue="1" operator="between">
      <formula>0</formula>
      <formula>0.5</formula>
    </cfRule>
  </conditionalFormatting>
  <conditionalFormatting sqref="R125">
    <cfRule type="cellIs" dxfId="4378" priority="4632" operator="between">
      <formula>0.76</formula>
      <formula>0.95</formula>
    </cfRule>
    <cfRule type="cellIs" dxfId="4377" priority="4633" operator="between">
      <formula>0.51</formula>
      <formula>0.75</formula>
    </cfRule>
    <cfRule type="cellIs" dxfId="4376" priority="4634" operator="greaterThan">
      <formula>1</formula>
    </cfRule>
    <cfRule type="cellIs" dxfId="4375" priority="4635" operator="between">
      <formula>0.95</formula>
      <formula>1</formula>
    </cfRule>
    <cfRule type="cellIs" dxfId="4374" priority="4636" stopIfTrue="1" operator="between">
      <formula>0</formula>
      <formula>0.5</formula>
    </cfRule>
  </conditionalFormatting>
  <conditionalFormatting sqref="R126">
    <cfRule type="cellIs" dxfId="4373" priority="4627" operator="between">
      <formula>0.76</formula>
      <formula>0.95</formula>
    </cfRule>
    <cfRule type="cellIs" dxfId="4372" priority="4628" operator="between">
      <formula>0.51</formula>
      <formula>0.75</formula>
    </cfRule>
    <cfRule type="cellIs" dxfId="4371" priority="4629" operator="greaterThan">
      <formula>1</formula>
    </cfRule>
    <cfRule type="cellIs" dxfId="4370" priority="4630" operator="between">
      <formula>0.95</formula>
      <formula>1</formula>
    </cfRule>
    <cfRule type="cellIs" dxfId="4369" priority="4631" stopIfTrue="1" operator="between">
      <formula>0</formula>
      <formula>0.5</formula>
    </cfRule>
  </conditionalFormatting>
  <conditionalFormatting sqref="R127">
    <cfRule type="cellIs" dxfId="4368" priority="4622" operator="between">
      <formula>0.76</formula>
      <formula>0.95</formula>
    </cfRule>
    <cfRule type="cellIs" dxfId="4367" priority="4623" operator="between">
      <formula>0.51</formula>
      <formula>0.75</formula>
    </cfRule>
    <cfRule type="cellIs" dxfId="4366" priority="4624" operator="greaterThan">
      <formula>1</formula>
    </cfRule>
    <cfRule type="cellIs" dxfId="4365" priority="4625" operator="between">
      <formula>0.95</formula>
      <formula>1</formula>
    </cfRule>
    <cfRule type="cellIs" dxfId="4364" priority="4626" stopIfTrue="1" operator="between">
      <formula>0</formula>
      <formula>0.5</formula>
    </cfRule>
  </conditionalFormatting>
  <conditionalFormatting sqref="R128">
    <cfRule type="cellIs" dxfId="4363" priority="4617" operator="between">
      <formula>0.76</formula>
      <formula>0.95</formula>
    </cfRule>
    <cfRule type="cellIs" dxfId="4362" priority="4618" operator="between">
      <formula>0.51</formula>
      <formula>0.75</formula>
    </cfRule>
    <cfRule type="cellIs" dxfId="4361" priority="4619" operator="greaterThan">
      <formula>1</formula>
    </cfRule>
    <cfRule type="cellIs" dxfId="4360" priority="4620" operator="between">
      <formula>0.95</formula>
      <formula>1</formula>
    </cfRule>
    <cfRule type="cellIs" dxfId="4359" priority="4621" stopIfTrue="1" operator="between">
      <formula>0</formula>
      <formula>0.5</formula>
    </cfRule>
  </conditionalFormatting>
  <conditionalFormatting sqref="R129">
    <cfRule type="cellIs" dxfId="4358" priority="4612" operator="between">
      <formula>0.76</formula>
      <formula>0.95</formula>
    </cfRule>
    <cfRule type="cellIs" dxfId="4357" priority="4613" operator="between">
      <formula>0.51</formula>
      <formula>0.75</formula>
    </cfRule>
    <cfRule type="cellIs" dxfId="4356" priority="4614" operator="greaterThan">
      <formula>1</formula>
    </cfRule>
    <cfRule type="cellIs" dxfId="4355" priority="4615" operator="between">
      <formula>0.95</formula>
      <formula>1</formula>
    </cfRule>
    <cfRule type="cellIs" dxfId="4354" priority="4616" stopIfTrue="1" operator="between">
      <formula>0</formula>
      <formula>0.5</formula>
    </cfRule>
  </conditionalFormatting>
  <conditionalFormatting sqref="R130">
    <cfRule type="cellIs" dxfId="4353" priority="4607" operator="between">
      <formula>0.76</formula>
      <formula>0.95</formula>
    </cfRule>
    <cfRule type="cellIs" dxfId="4352" priority="4608" operator="between">
      <formula>0.51</formula>
      <formula>0.75</formula>
    </cfRule>
    <cfRule type="cellIs" dxfId="4351" priority="4609" operator="greaterThan">
      <formula>1</formula>
    </cfRule>
    <cfRule type="cellIs" dxfId="4350" priority="4610" operator="between">
      <formula>0.95</formula>
      <formula>1</formula>
    </cfRule>
    <cfRule type="cellIs" dxfId="4349" priority="4611" stopIfTrue="1" operator="between">
      <formula>0</formula>
      <formula>0.5</formula>
    </cfRule>
  </conditionalFormatting>
  <conditionalFormatting sqref="R131">
    <cfRule type="cellIs" dxfId="4348" priority="4602" operator="between">
      <formula>0.76</formula>
      <formula>0.95</formula>
    </cfRule>
    <cfRule type="cellIs" dxfId="4347" priority="4603" operator="between">
      <formula>0.51</formula>
      <formula>0.75</formula>
    </cfRule>
    <cfRule type="cellIs" dxfId="4346" priority="4604" operator="greaterThan">
      <formula>1</formula>
    </cfRule>
    <cfRule type="cellIs" dxfId="4345" priority="4605" operator="between">
      <formula>0.95</formula>
      <formula>1</formula>
    </cfRule>
    <cfRule type="cellIs" dxfId="4344" priority="4606" stopIfTrue="1" operator="between">
      <formula>0</formula>
      <formula>0.5</formula>
    </cfRule>
  </conditionalFormatting>
  <conditionalFormatting sqref="R132">
    <cfRule type="cellIs" dxfId="4343" priority="4597" operator="between">
      <formula>0.76</formula>
      <formula>0.95</formula>
    </cfRule>
    <cfRule type="cellIs" dxfId="4342" priority="4598" operator="between">
      <formula>0.51</formula>
      <formula>0.75</formula>
    </cfRule>
    <cfRule type="cellIs" dxfId="4341" priority="4599" operator="greaterThan">
      <formula>1</formula>
    </cfRule>
    <cfRule type="cellIs" dxfId="4340" priority="4600" operator="between">
      <formula>0.95</formula>
      <formula>1</formula>
    </cfRule>
    <cfRule type="cellIs" dxfId="4339" priority="4601" stopIfTrue="1" operator="between">
      <formula>0</formula>
      <formula>0.5</formula>
    </cfRule>
  </conditionalFormatting>
  <conditionalFormatting sqref="R133">
    <cfRule type="cellIs" dxfId="4338" priority="4592" operator="between">
      <formula>0.76</formula>
      <formula>0.95</formula>
    </cfRule>
    <cfRule type="cellIs" dxfId="4337" priority="4593" operator="between">
      <formula>0.51</formula>
      <formula>0.75</formula>
    </cfRule>
    <cfRule type="cellIs" dxfId="4336" priority="4594" operator="greaterThan">
      <formula>1</formula>
    </cfRule>
    <cfRule type="cellIs" dxfId="4335" priority="4595" operator="between">
      <formula>0.95</formula>
      <formula>1</formula>
    </cfRule>
    <cfRule type="cellIs" dxfId="4334" priority="4596" stopIfTrue="1" operator="between">
      <formula>0</formula>
      <formula>0.5</formula>
    </cfRule>
  </conditionalFormatting>
  <conditionalFormatting sqref="R134">
    <cfRule type="cellIs" dxfId="4333" priority="4587" operator="between">
      <formula>0.76</formula>
      <formula>0.95</formula>
    </cfRule>
    <cfRule type="cellIs" dxfId="4332" priority="4588" operator="between">
      <formula>0.51</formula>
      <formula>0.75</formula>
    </cfRule>
    <cfRule type="cellIs" dxfId="4331" priority="4589" operator="greaterThan">
      <formula>1</formula>
    </cfRule>
    <cfRule type="cellIs" dxfId="4330" priority="4590" operator="between">
      <formula>0.95</formula>
      <formula>1</formula>
    </cfRule>
    <cfRule type="cellIs" dxfId="4329" priority="4591" stopIfTrue="1" operator="between">
      <formula>0</formula>
      <formula>0.5</formula>
    </cfRule>
  </conditionalFormatting>
  <conditionalFormatting sqref="R136">
    <cfRule type="cellIs" dxfId="4328" priority="4582" operator="between">
      <formula>0.76</formula>
      <formula>0.95</formula>
    </cfRule>
    <cfRule type="cellIs" dxfId="4327" priority="4583" operator="between">
      <formula>0.51</formula>
      <formula>0.75</formula>
    </cfRule>
    <cfRule type="cellIs" dxfId="4326" priority="4584" operator="greaterThan">
      <formula>1</formula>
    </cfRule>
    <cfRule type="cellIs" dxfId="4325" priority="4585" operator="between">
      <formula>0.95</formula>
      <formula>1</formula>
    </cfRule>
    <cfRule type="cellIs" dxfId="4324" priority="4586" stopIfTrue="1" operator="between">
      <formula>0</formula>
      <formula>0.5</formula>
    </cfRule>
  </conditionalFormatting>
  <conditionalFormatting sqref="R137">
    <cfRule type="cellIs" dxfId="4323" priority="4577" operator="between">
      <formula>0.76</formula>
      <formula>0.95</formula>
    </cfRule>
    <cfRule type="cellIs" dxfId="4322" priority="4578" operator="between">
      <formula>0.51</formula>
      <formula>0.75</formula>
    </cfRule>
    <cfRule type="cellIs" dxfId="4321" priority="4579" operator="greaterThan">
      <formula>1</formula>
    </cfRule>
    <cfRule type="cellIs" dxfId="4320" priority="4580" operator="between">
      <formula>0.95</formula>
      <formula>1</formula>
    </cfRule>
    <cfRule type="cellIs" dxfId="4319" priority="4581" stopIfTrue="1" operator="between">
      <formula>0</formula>
      <formula>0.5</formula>
    </cfRule>
  </conditionalFormatting>
  <conditionalFormatting sqref="R138">
    <cfRule type="cellIs" dxfId="4318" priority="4572" operator="between">
      <formula>0.76</formula>
      <formula>0.95</formula>
    </cfRule>
    <cfRule type="cellIs" dxfId="4317" priority="4573" operator="between">
      <formula>0.51</formula>
      <formula>0.75</formula>
    </cfRule>
    <cfRule type="cellIs" dxfId="4316" priority="4574" operator="greaterThan">
      <formula>1</formula>
    </cfRule>
    <cfRule type="cellIs" dxfId="4315" priority="4575" operator="between">
      <formula>0.95</formula>
      <formula>1</formula>
    </cfRule>
    <cfRule type="cellIs" dxfId="4314" priority="4576" stopIfTrue="1" operator="between">
      <formula>0</formula>
      <formula>0.5</formula>
    </cfRule>
  </conditionalFormatting>
  <conditionalFormatting sqref="R140">
    <cfRule type="cellIs" dxfId="4313" priority="4567" operator="between">
      <formula>0.76</formula>
      <formula>0.95</formula>
    </cfRule>
    <cfRule type="cellIs" dxfId="4312" priority="4568" operator="between">
      <formula>0.51</formula>
      <formula>0.75</formula>
    </cfRule>
    <cfRule type="cellIs" dxfId="4311" priority="4569" operator="greaterThan">
      <formula>1</formula>
    </cfRule>
    <cfRule type="cellIs" dxfId="4310" priority="4570" operator="between">
      <formula>0.95</formula>
      <formula>1</formula>
    </cfRule>
    <cfRule type="cellIs" dxfId="4309" priority="4571" stopIfTrue="1" operator="between">
      <formula>0</formula>
      <formula>0.5</formula>
    </cfRule>
  </conditionalFormatting>
  <conditionalFormatting sqref="R139">
    <cfRule type="cellIs" dxfId="4308" priority="4562" operator="between">
      <formula>0.76</formula>
      <formula>0.95</formula>
    </cfRule>
    <cfRule type="cellIs" dxfId="4307" priority="4563" operator="between">
      <formula>0.51</formula>
      <formula>0.75</formula>
    </cfRule>
    <cfRule type="cellIs" dxfId="4306" priority="4564" operator="greaterThan">
      <formula>1</formula>
    </cfRule>
    <cfRule type="cellIs" dxfId="4305" priority="4565" operator="between">
      <formula>0.95</formula>
      <formula>1</formula>
    </cfRule>
    <cfRule type="cellIs" dxfId="4304" priority="4566" stopIfTrue="1" operator="between">
      <formula>0</formula>
      <formula>0.5</formula>
    </cfRule>
  </conditionalFormatting>
  <conditionalFormatting sqref="R141">
    <cfRule type="cellIs" dxfId="4303" priority="4557" operator="between">
      <formula>0.76</formula>
      <formula>0.95</formula>
    </cfRule>
    <cfRule type="cellIs" dxfId="4302" priority="4558" operator="between">
      <formula>0.51</formula>
      <formula>0.75</formula>
    </cfRule>
    <cfRule type="cellIs" dxfId="4301" priority="4559" operator="greaterThan">
      <formula>1</formula>
    </cfRule>
    <cfRule type="cellIs" dxfId="4300" priority="4560" operator="between">
      <formula>0.95</formula>
      <formula>1</formula>
    </cfRule>
    <cfRule type="cellIs" dxfId="4299" priority="4561" stopIfTrue="1" operator="between">
      <formula>0</formula>
      <formula>0.5</formula>
    </cfRule>
  </conditionalFormatting>
  <conditionalFormatting sqref="R142">
    <cfRule type="cellIs" dxfId="4298" priority="4552" operator="between">
      <formula>0.76</formula>
      <formula>0.95</formula>
    </cfRule>
    <cfRule type="cellIs" dxfId="4297" priority="4553" operator="between">
      <formula>0.51</formula>
      <formula>0.75</formula>
    </cfRule>
    <cfRule type="cellIs" dxfId="4296" priority="4554" operator="greaterThan">
      <formula>1</formula>
    </cfRule>
    <cfRule type="cellIs" dxfId="4295" priority="4555" operator="between">
      <formula>0.95</formula>
      <formula>1</formula>
    </cfRule>
    <cfRule type="cellIs" dxfId="4294" priority="4556" stopIfTrue="1" operator="between">
      <formula>0</formula>
      <formula>0.5</formula>
    </cfRule>
  </conditionalFormatting>
  <conditionalFormatting sqref="R143">
    <cfRule type="cellIs" dxfId="4293" priority="4547" operator="between">
      <formula>0.76</formula>
      <formula>0.95</formula>
    </cfRule>
    <cfRule type="cellIs" dxfId="4292" priority="4548" operator="between">
      <formula>0.51</formula>
      <formula>0.75</formula>
    </cfRule>
    <cfRule type="cellIs" dxfId="4291" priority="4549" operator="greaterThan">
      <formula>1</formula>
    </cfRule>
    <cfRule type="cellIs" dxfId="4290" priority="4550" operator="between">
      <formula>0.95</formula>
      <formula>1</formula>
    </cfRule>
    <cfRule type="cellIs" dxfId="4289" priority="4551" stopIfTrue="1" operator="between">
      <formula>0</formula>
      <formula>0.5</formula>
    </cfRule>
  </conditionalFormatting>
  <conditionalFormatting sqref="R144">
    <cfRule type="cellIs" dxfId="4288" priority="4542" operator="between">
      <formula>0.76</formula>
      <formula>0.95</formula>
    </cfRule>
    <cfRule type="cellIs" dxfId="4287" priority="4543" operator="between">
      <formula>0.51</formula>
      <formula>0.75</formula>
    </cfRule>
    <cfRule type="cellIs" dxfId="4286" priority="4544" operator="greaterThan">
      <formula>1</formula>
    </cfRule>
    <cfRule type="cellIs" dxfId="4285" priority="4545" operator="between">
      <formula>0.95</formula>
      <formula>1</formula>
    </cfRule>
    <cfRule type="cellIs" dxfId="4284" priority="4546" stopIfTrue="1" operator="between">
      <formula>0</formula>
      <formula>0.5</formula>
    </cfRule>
  </conditionalFormatting>
  <conditionalFormatting sqref="R145">
    <cfRule type="cellIs" dxfId="4283" priority="4537" operator="between">
      <formula>0.76</formula>
      <formula>0.95</formula>
    </cfRule>
    <cfRule type="cellIs" dxfId="4282" priority="4538" operator="between">
      <formula>0.51</formula>
      <formula>0.75</formula>
    </cfRule>
    <cfRule type="cellIs" dxfId="4281" priority="4539" operator="greaterThan">
      <formula>1</formula>
    </cfRule>
    <cfRule type="cellIs" dxfId="4280" priority="4540" operator="between">
      <formula>0.95</formula>
      <formula>1</formula>
    </cfRule>
    <cfRule type="cellIs" dxfId="4279" priority="4541" stopIfTrue="1" operator="between">
      <formula>0</formula>
      <formula>0.5</formula>
    </cfRule>
  </conditionalFormatting>
  <conditionalFormatting sqref="R146">
    <cfRule type="cellIs" dxfId="4278" priority="4532" operator="between">
      <formula>0.76</formula>
      <formula>0.95</formula>
    </cfRule>
    <cfRule type="cellIs" dxfId="4277" priority="4533" operator="between">
      <formula>0.51</formula>
      <formula>0.75</formula>
    </cfRule>
    <cfRule type="cellIs" dxfId="4276" priority="4534" operator="greaterThan">
      <formula>1</formula>
    </cfRule>
    <cfRule type="cellIs" dxfId="4275" priority="4535" operator="between">
      <formula>0.95</formula>
      <formula>1</formula>
    </cfRule>
    <cfRule type="cellIs" dxfId="4274" priority="4536" stopIfTrue="1" operator="between">
      <formula>0</formula>
      <formula>0.5</formula>
    </cfRule>
  </conditionalFormatting>
  <conditionalFormatting sqref="R147">
    <cfRule type="cellIs" dxfId="4273" priority="4527" operator="between">
      <formula>0.76</formula>
      <formula>0.95</formula>
    </cfRule>
    <cfRule type="cellIs" dxfId="4272" priority="4528" operator="between">
      <formula>0.51</formula>
      <formula>0.75</formula>
    </cfRule>
    <cfRule type="cellIs" dxfId="4271" priority="4529" operator="greaterThan">
      <formula>1</formula>
    </cfRule>
    <cfRule type="cellIs" dxfId="4270" priority="4530" operator="between">
      <formula>0.95</formula>
      <formula>1</formula>
    </cfRule>
    <cfRule type="cellIs" dxfId="4269" priority="4531" stopIfTrue="1" operator="between">
      <formula>0</formula>
      <formula>0.5</formula>
    </cfRule>
  </conditionalFormatting>
  <conditionalFormatting sqref="R148">
    <cfRule type="cellIs" dxfId="4268" priority="4522" operator="between">
      <formula>0.76</formula>
      <formula>0.95</formula>
    </cfRule>
    <cfRule type="cellIs" dxfId="4267" priority="4523" operator="between">
      <formula>0.51</formula>
      <formula>0.75</formula>
    </cfRule>
    <cfRule type="cellIs" dxfId="4266" priority="4524" operator="greaterThan">
      <formula>1</formula>
    </cfRule>
    <cfRule type="cellIs" dxfId="4265" priority="4525" operator="between">
      <formula>0.95</formula>
      <formula>1</formula>
    </cfRule>
    <cfRule type="cellIs" dxfId="4264" priority="4526" stopIfTrue="1" operator="between">
      <formula>0</formula>
      <formula>0.5</formula>
    </cfRule>
  </conditionalFormatting>
  <conditionalFormatting sqref="R149">
    <cfRule type="cellIs" dxfId="4263" priority="4517" operator="between">
      <formula>0.76</formula>
      <formula>0.95</formula>
    </cfRule>
    <cfRule type="cellIs" dxfId="4262" priority="4518" operator="between">
      <formula>0.51</formula>
      <formula>0.75</formula>
    </cfRule>
    <cfRule type="cellIs" dxfId="4261" priority="4519" operator="greaterThan">
      <formula>1</formula>
    </cfRule>
    <cfRule type="cellIs" dxfId="4260" priority="4520" operator="between">
      <formula>0.95</formula>
      <formula>1</formula>
    </cfRule>
    <cfRule type="cellIs" dxfId="4259" priority="4521" stopIfTrue="1" operator="between">
      <formula>0</formula>
      <formula>0.5</formula>
    </cfRule>
  </conditionalFormatting>
  <conditionalFormatting sqref="R150">
    <cfRule type="cellIs" dxfId="4258" priority="4512" operator="between">
      <formula>0.76</formula>
      <formula>0.95</formula>
    </cfRule>
    <cfRule type="cellIs" dxfId="4257" priority="4513" operator="between">
      <formula>0.51</formula>
      <formula>0.75</formula>
    </cfRule>
    <cfRule type="cellIs" dxfId="4256" priority="4514" operator="greaterThan">
      <formula>1</formula>
    </cfRule>
    <cfRule type="cellIs" dxfId="4255" priority="4515" operator="between">
      <formula>0.95</formula>
      <formula>1</formula>
    </cfRule>
    <cfRule type="cellIs" dxfId="4254" priority="4516" stopIfTrue="1" operator="between">
      <formula>0</formula>
      <formula>0.5</formula>
    </cfRule>
  </conditionalFormatting>
  <conditionalFormatting sqref="R151">
    <cfRule type="cellIs" dxfId="4253" priority="4507" operator="between">
      <formula>0.76</formula>
      <formula>0.95</formula>
    </cfRule>
    <cfRule type="cellIs" dxfId="4252" priority="4508" operator="between">
      <formula>0.51</formula>
      <formula>0.75</formula>
    </cfRule>
    <cfRule type="cellIs" dxfId="4251" priority="4509" operator="greaterThan">
      <formula>1</formula>
    </cfRule>
    <cfRule type="cellIs" dxfId="4250" priority="4510" operator="between">
      <formula>0.95</formula>
      <formula>1</formula>
    </cfRule>
    <cfRule type="cellIs" dxfId="4249" priority="4511" stopIfTrue="1" operator="between">
      <formula>0</formula>
      <formula>0.5</formula>
    </cfRule>
  </conditionalFormatting>
  <conditionalFormatting sqref="R152">
    <cfRule type="cellIs" dxfId="4248" priority="4502" operator="between">
      <formula>0.76</formula>
      <formula>0.95</formula>
    </cfRule>
    <cfRule type="cellIs" dxfId="4247" priority="4503" operator="between">
      <formula>0.51</formula>
      <formula>0.75</formula>
    </cfRule>
    <cfRule type="cellIs" dxfId="4246" priority="4504" operator="greaterThan">
      <formula>1</formula>
    </cfRule>
    <cfRule type="cellIs" dxfId="4245" priority="4505" operator="between">
      <formula>0.95</formula>
      <formula>1</formula>
    </cfRule>
    <cfRule type="cellIs" dxfId="4244" priority="4506" stopIfTrue="1" operator="between">
      <formula>0</formula>
      <formula>0.5</formula>
    </cfRule>
  </conditionalFormatting>
  <conditionalFormatting sqref="R153">
    <cfRule type="cellIs" dxfId="4243" priority="4497" operator="between">
      <formula>0.76</formula>
      <formula>0.95</formula>
    </cfRule>
    <cfRule type="cellIs" dxfId="4242" priority="4498" operator="between">
      <formula>0.51</formula>
      <formula>0.75</formula>
    </cfRule>
    <cfRule type="cellIs" dxfId="4241" priority="4499" operator="greaterThan">
      <formula>1</formula>
    </cfRule>
    <cfRule type="cellIs" dxfId="4240" priority="4500" operator="between">
      <formula>0.95</formula>
      <formula>1</formula>
    </cfRule>
    <cfRule type="cellIs" dxfId="4239" priority="4501" stopIfTrue="1" operator="between">
      <formula>0</formula>
      <formula>0.5</formula>
    </cfRule>
  </conditionalFormatting>
  <conditionalFormatting sqref="R154">
    <cfRule type="cellIs" dxfId="4238" priority="4492" operator="between">
      <formula>0.76</formula>
      <formula>0.95</formula>
    </cfRule>
    <cfRule type="cellIs" dxfId="4237" priority="4493" operator="between">
      <formula>0.51</formula>
      <formula>0.75</formula>
    </cfRule>
    <cfRule type="cellIs" dxfId="4236" priority="4494" operator="greaterThan">
      <formula>1</formula>
    </cfRule>
    <cfRule type="cellIs" dxfId="4235" priority="4495" operator="between">
      <formula>0.95</formula>
      <formula>1</formula>
    </cfRule>
    <cfRule type="cellIs" dxfId="4234" priority="4496" stopIfTrue="1" operator="between">
      <formula>0</formula>
      <formula>0.5</formula>
    </cfRule>
  </conditionalFormatting>
  <conditionalFormatting sqref="R155">
    <cfRule type="cellIs" dxfId="4233" priority="4487" operator="between">
      <formula>0.76</formula>
      <formula>0.95</formula>
    </cfRule>
    <cfRule type="cellIs" dxfId="4232" priority="4488" operator="between">
      <formula>0.51</formula>
      <formula>0.75</formula>
    </cfRule>
    <cfRule type="cellIs" dxfId="4231" priority="4489" operator="greaterThan">
      <formula>1</formula>
    </cfRule>
    <cfRule type="cellIs" dxfId="4230" priority="4490" operator="between">
      <formula>0.95</formula>
      <formula>1</formula>
    </cfRule>
    <cfRule type="cellIs" dxfId="4229" priority="4491" stopIfTrue="1" operator="between">
      <formula>0</formula>
      <formula>0.5</formula>
    </cfRule>
  </conditionalFormatting>
  <conditionalFormatting sqref="R156">
    <cfRule type="cellIs" dxfId="4228" priority="4482" operator="between">
      <formula>0.76</formula>
      <formula>0.95</formula>
    </cfRule>
    <cfRule type="cellIs" dxfId="4227" priority="4483" operator="between">
      <formula>0.51</formula>
      <formula>0.75</formula>
    </cfRule>
    <cfRule type="cellIs" dxfId="4226" priority="4484" operator="greaterThan">
      <formula>1</formula>
    </cfRule>
    <cfRule type="cellIs" dxfId="4225" priority="4485" operator="between">
      <formula>0.95</formula>
      <formula>1</formula>
    </cfRule>
    <cfRule type="cellIs" dxfId="4224" priority="4486" stopIfTrue="1" operator="between">
      <formula>0</formula>
      <formula>0.5</formula>
    </cfRule>
  </conditionalFormatting>
  <conditionalFormatting sqref="R157">
    <cfRule type="cellIs" dxfId="4223" priority="4477" operator="between">
      <formula>0.76</formula>
      <formula>0.95</formula>
    </cfRule>
    <cfRule type="cellIs" dxfId="4222" priority="4478" operator="between">
      <formula>0.51</formula>
      <formula>0.75</formula>
    </cfRule>
    <cfRule type="cellIs" dxfId="4221" priority="4479" operator="greaterThan">
      <formula>1</formula>
    </cfRule>
    <cfRule type="cellIs" dxfId="4220" priority="4480" operator="between">
      <formula>0.95</formula>
      <formula>1</formula>
    </cfRule>
    <cfRule type="cellIs" dxfId="4219" priority="4481" stopIfTrue="1" operator="between">
      <formula>0</formula>
      <formula>0.5</formula>
    </cfRule>
  </conditionalFormatting>
  <conditionalFormatting sqref="R158">
    <cfRule type="cellIs" dxfId="4218" priority="4472" operator="between">
      <formula>0.76</formula>
      <formula>0.95</formula>
    </cfRule>
    <cfRule type="cellIs" dxfId="4217" priority="4473" operator="between">
      <formula>0.51</formula>
      <formula>0.75</formula>
    </cfRule>
    <cfRule type="cellIs" dxfId="4216" priority="4474" operator="greaterThan">
      <formula>1</formula>
    </cfRule>
    <cfRule type="cellIs" dxfId="4215" priority="4475" operator="between">
      <formula>0.95</formula>
      <formula>1</formula>
    </cfRule>
    <cfRule type="cellIs" dxfId="4214" priority="4476" stopIfTrue="1" operator="between">
      <formula>0</formula>
      <formula>0.5</formula>
    </cfRule>
  </conditionalFormatting>
  <conditionalFormatting sqref="R159">
    <cfRule type="cellIs" dxfId="4213" priority="4467" operator="between">
      <formula>0.76</formula>
      <formula>0.95</formula>
    </cfRule>
    <cfRule type="cellIs" dxfId="4212" priority="4468" operator="between">
      <formula>0.51</formula>
      <formula>0.75</formula>
    </cfRule>
    <cfRule type="cellIs" dxfId="4211" priority="4469" operator="greaterThan">
      <formula>1</formula>
    </cfRule>
    <cfRule type="cellIs" dxfId="4210" priority="4470" operator="between">
      <formula>0.95</formula>
      <formula>1</formula>
    </cfRule>
    <cfRule type="cellIs" dxfId="4209" priority="4471" stopIfTrue="1" operator="between">
      <formula>0</formula>
      <formula>0.5</formula>
    </cfRule>
  </conditionalFormatting>
  <conditionalFormatting sqref="R160">
    <cfRule type="cellIs" dxfId="4208" priority="4462" operator="between">
      <formula>0.76</formula>
      <formula>0.95</formula>
    </cfRule>
    <cfRule type="cellIs" dxfId="4207" priority="4463" operator="between">
      <formula>0.51</formula>
      <formula>0.75</formula>
    </cfRule>
    <cfRule type="cellIs" dxfId="4206" priority="4464" operator="greaterThan">
      <formula>1</formula>
    </cfRule>
    <cfRule type="cellIs" dxfId="4205" priority="4465" operator="between">
      <formula>0.95</formula>
      <formula>1</formula>
    </cfRule>
    <cfRule type="cellIs" dxfId="4204" priority="4466" stopIfTrue="1" operator="between">
      <formula>0</formula>
      <formula>0.5</formula>
    </cfRule>
  </conditionalFormatting>
  <conditionalFormatting sqref="R162">
    <cfRule type="cellIs" dxfId="4203" priority="4457" operator="between">
      <formula>0.76</formula>
      <formula>0.95</formula>
    </cfRule>
    <cfRule type="cellIs" dxfId="4202" priority="4458" operator="between">
      <formula>0.51</formula>
      <formula>0.75</formula>
    </cfRule>
    <cfRule type="cellIs" dxfId="4201" priority="4459" operator="greaterThan">
      <formula>1</formula>
    </cfRule>
    <cfRule type="cellIs" dxfId="4200" priority="4460" operator="between">
      <formula>0.95</formula>
      <formula>1</formula>
    </cfRule>
    <cfRule type="cellIs" dxfId="4199" priority="4461" stopIfTrue="1" operator="between">
      <formula>0</formula>
      <formula>0.5</formula>
    </cfRule>
  </conditionalFormatting>
  <conditionalFormatting sqref="R161">
    <cfRule type="cellIs" dxfId="4198" priority="4452" operator="between">
      <formula>0.76</formula>
      <formula>0.95</formula>
    </cfRule>
    <cfRule type="cellIs" dxfId="4197" priority="4453" operator="between">
      <formula>0.51</formula>
      <formula>0.75</formula>
    </cfRule>
    <cfRule type="cellIs" dxfId="4196" priority="4454" operator="greaterThan">
      <formula>1</formula>
    </cfRule>
    <cfRule type="cellIs" dxfId="4195" priority="4455" operator="between">
      <formula>0.95</formula>
      <formula>1</formula>
    </cfRule>
    <cfRule type="cellIs" dxfId="4194" priority="4456" stopIfTrue="1" operator="between">
      <formula>0</formula>
      <formula>0.5</formula>
    </cfRule>
  </conditionalFormatting>
  <conditionalFormatting sqref="R163">
    <cfRule type="cellIs" dxfId="4193" priority="4447" operator="between">
      <formula>0.76</formula>
      <formula>0.95</formula>
    </cfRule>
    <cfRule type="cellIs" dxfId="4192" priority="4448" operator="between">
      <formula>0.51</formula>
      <formula>0.75</formula>
    </cfRule>
    <cfRule type="cellIs" dxfId="4191" priority="4449" operator="greaterThan">
      <formula>1</formula>
    </cfRule>
    <cfRule type="cellIs" dxfId="4190" priority="4450" operator="between">
      <formula>0.95</formula>
      <formula>1</formula>
    </cfRule>
    <cfRule type="cellIs" dxfId="4189" priority="4451" stopIfTrue="1" operator="between">
      <formula>0</formula>
      <formula>0.5</formula>
    </cfRule>
  </conditionalFormatting>
  <conditionalFormatting sqref="R164">
    <cfRule type="cellIs" dxfId="4188" priority="4442" operator="between">
      <formula>0.76</formula>
      <formula>0.95</formula>
    </cfRule>
    <cfRule type="cellIs" dxfId="4187" priority="4443" operator="between">
      <formula>0.51</formula>
      <formula>0.75</formula>
    </cfRule>
    <cfRule type="cellIs" dxfId="4186" priority="4444" operator="greaterThan">
      <formula>1</formula>
    </cfRule>
    <cfRule type="cellIs" dxfId="4185" priority="4445" operator="between">
      <formula>0.95</formula>
      <formula>1</formula>
    </cfRule>
    <cfRule type="cellIs" dxfId="4184" priority="4446" stopIfTrue="1" operator="between">
      <formula>0</formula>
      <formula>0.5</formula>
    </cfRule>
  </conditionalFormatting>
  <conditionalFormatting sqref="R165">
    <cfRule type="cellIs" dxfId="4183" priority="4437" operator="between">
      <formula>0.76</formula>
      <formula>0.95</formula>
    </cfRule>
    <cfRule type="cellIs" dxfId="4182" priority="4438" operator="between">
      <formula>0.51</formula>
      <formula>0.75</formula>
    </cfRule>
    <cfRule type="cellIs" dxfId="4181" priority="4439" operator="greaterThan">
      <formula>1</formula>
    </cfRule>
    <cfRule type="cellIs" dxfId="4180" priority="4440" operator="between">
      <formula>0.95</formula>
      <formula>1</formula>
    </cfRule>
    <cfRule type="cellIs" dxfId="4179" priority="4441" stopIfTrue="1" operator="between">
      <formula>0</formula>
      <formula>0.5</formula>
    </cfRule>
  </conditionalFormatting>
  <conditionalFormatting sqref="R166">
    <cfRule type="cellIs" dxfId="4178" priority="4432" operator="between">
      <formula>0.76</formula>
      <formula>0.95</formula>
    </cfRule>
    <cfRule type="cellIs" dxfId="4177" priority="4433" operator="between">
      <formula>0.51</formula>
      <formula>0.75</formula>
    </cfRule>
    <cfRule type="cellIs" dxfId="4176" priority="4434" operator="greaterThan">
      <formula>1</formula>
    </cfRule>
    <cfRule type="cellIs" dxfId="4175" priority="4435" operator="between">
      <formula>0.95</formula>
      <formula>1</formula>
    </cfRule>
    <cfRule type="cellIs" dxfId="4174" priority="4436" stopIfTrue="1" operator="between">
      <formula>0</formula>
      <formula>0.5</formula>
    </cfRule>
  </conditionalFormatting>
  <conditionalFormatting sqref="R167">
    <cfRule type="cellIs" dxfId="4173" priority="4427" operator="between">
      <formula>0.76</formula>
      <formula>0.95</formula>
    </cfRule>
    <cfRule type="cellIs" dxfId="4172" priority="4428" operator="between">
      <formula>0.51</formula>
      <formula>0.75</formula>
    </cfRule>
    <cfRule type="cellIs" dxfId="4171" priority="4429" operator="greaterThan">
      <formula>1</formula>
    </cfRule>
    <cfRule type="cellIs" dxfId="4170" priority="4430" operator="between">
      <formula>0.95</formula>
      <formula>1</formula>
    </cfRule>
    <cfRule type="cellIs" dxfId="4169" priority="4431" stopIfTrue="1" operator="between">
      <formula>0</formula>
      <formula>0.5</formula>
    </cfRule>
  </conditionalFormatting>
  <conditionalFormatting sqref="R168">
    <cfRule type="cellIs" dxfId="4168" priority="4422" operator="between">
      <formula>0.76</formula>
      <formula>0.95</formula>
    </cfRule>
    <cfRule type="cellIs" dxfId="4167" priority="4423" operator="between">
      <formula>0.51</formula>
      <formula>0.75</formula>
    </cfRule>
    <cfRule type="cellIs" dxfId="4166" priority="4424" operator="greaterThan">
      <formula>1</formula>
    </cfRule>
    <cfRule type="cellIs" dxfId="4165" priority="4425" operator="between">
      <formula>0.95</formula>
      <formula>1</formula>
    </cfRule>
    <cfRule type="cellIs" dxfId="4164" priority="4426" stopIfTrue="1" operator="between">
      <formula>0</formula>
      <formula>0.5</formula>
    </cfRule>
  </conditionalFormatting>
  <conditionalFormatting sqref="R169">
    <cfRule type="cellIs" dxfId="4163" priority="4417" operator="between">
      <formula>0.76</formula>
      <formula>0.95</formula>
    </cfRule>
    <cfRule type="cellIs" dxfId="4162" priority="4418" operator="between">
      <formula>0.51</formula>
      <formula>0.75</formula>
    </cfRule>
    <cfRule type="cellIs" dxfId="4161" priority="4419" operator="greaterThan">
      <formula>1</formula>
    </cfRule>
    <cfRule type="cellIs" dxfId="4160" priority="4420" operator="between">
      <formula>0.95</formula>
      <formula>1</formula>
    </cfRule>
    <cfRule type="cellIs" dxfId="4159" priority="4421" stopIfTrue="1" operator="between">
      <formula>0</formula>
      <formula>0.5</formula>
    </cfRule>
  </conditionalFormatting>
  <conditionalFormatting sqref="R170">
    <cfRule type="cellIs" dxfId="4158" priority="4412" operator="between">
      <formula>0.76</formula>
      <formula>0.95</formula>
    </cfRule>
    <cfRule type="cellIs" dxfId="4157" priority="4413" operator="between">
      <formula>0.51</formula>
      <formula>0.75</formula>
    </cfRule>
    <cfRule type="cellIs" dxfId="4156" priority="4414" operator="greaterThan">
      <formula>1</formula>
    </cfRule>
    <cfRule type="cellIs" dxfId="4155" priority="4415" operator="between">
      <formula>0.95</formula>
      <formula>1</formula>
    </cfRule>
    <cfRule type="cellIs" dxfId="4154" priority="4416" stopIfTrue="1" operator="between">
      <formula>0</formula>
      <formula>0.5</formula>
    </cfRule>
  </conditionalFormatting>
  <conditionalFormatting sqref="R171">
    <cfRule type="cellIs" dxfId="4153" priority="4407" operator="between">
      <formula>0.76</formula>
      <formula>0.95</formula>
    </cfRule>
    <cfRule type="cellIs" dxfId="4152" priority="4408" operator="between">
      <formula>0.51</formula>
      <formula>0.75</formula>
    </cfRule>
    <cfRule type="cellIs" dxfId="4151" priority="4409" operator="greaterThan">
      <formula>1</formula>
    </cfRule>
    <cfRule type="cellIs" dxfId="4150" priority="4410" operator="between">
      <formula>0.95</formula>
      <formula>1</formula>
    </cfRule>
    <cfRule type="cellIs" dxfId="4149" priority="4411" stopIfTrue="1" operator="between">
      <formula>0</formula>
      <formula>0.5</formula>
    </cfRule>
  </conditionalFormatting>
  <conditionalFormatting sqref="R172">
    <cfRule type="cellIs" dxfId="4148" priority="4402" operator="between">
      <formula>0.76</formula>
      <formula>0.95</formula>
    </cfRule>
    <cfRule type="cellIs" dxfId="4147" priority="4403" operator="between">
      <formula>0.51</formula>
      <formula>0.75</formula>
    </cfRule>
    <cfRule type="cellIs" dxfId="4146" priority="4404" operator="greaterThan">
      <formula>1</formula>
    </cfRule>
    <cfRule type="cellIs" dxfId="4145" priority="4405" operator="between">
      <formula>0.95</formula>
      <formula>1</formula>
    </cfRule>
    <cfRule type="cellIs" dxfId="4144" priority="4406" stopIfTrue="1" operator="between">
      <formula>0</formula>
      <formula>0.5</formula>
    </cfRule>
  </conditionalFormatting>
  <conditionalFormatting sqref="R173">
    <cfRule type="cellIs" dxfId="4143" priority="4397" operator="between">
      <formula>0.76</formula>
      <formula>0.95</formula>
    </cfRule>
    <cfRule type="cellIs" dxfId="4142" priority="4398" operator="between">
      <formula>0.51</formula>
      <formula>0.75</formula>
    </cfRule>
    <cfRule type="cellIs" dxfId="4141" priority="4399" operator="greaterThan">
      <formula>1</formula>
    </cfRule>
    <cfRule type="cellIs" dxfId="4140" priority="4400" operator="between">
      <formula>0.95</formula>
      <formula>1</formula>
    </cfRule>
    <cfRule type="cellIs" dxfId="4139" priority="4401" stopIfTrue="1" operator="between">
      <formula>0</formula>
      <formula>0.5</formula>
    </cfRule>
  </conditionalFormatting>
  <conditionalFormatting sqref="R174">
    <cfRule type="cellIs" dxfId="4138" priority="4392" operator="between">
      <formula>0.76</formula>
      <formula>0.95</formula>
    </cfRule>
    <cfRule type="cellIs" dxfId="4137" priority="4393" operator="between">
      <formula>0.51</formula>
      <formula>0.75</formula>
    </cfRule>
    <cfRule type="cellIs" dxfId="4136" priority="4394" operator="greaterThan">
      <formula>1</formula>
    </cfRule>
    <cfRule type="cellIs" dxfId="4135" priority="4395" operator="between">
      <formula>0.95</formula>
      <formula>1</formula>
    </cfRule>
    <cfRule type="cellIs" dxfId="4134" priority="4396" stopIfTrue="1" operator="between">
      <formula>0</formula>
      <formula>0.5</formula>
    </cfRule>
  </conditionalFormatting>
  <conditionalFormatting sqref="R175">
    <cfRule type="cellIs" dxfId="4133" priority="4387" operator="between">
      <formula>0.76</formula>
      <formula>0.95</formula>
    </cfRule>
    <cfRule type="cellIs" dxfId="4132" priority="4388" operator="between">
      <formula>0.51</formula>
      <formula>0.75</formula>
    </cfRule>
    <cfRule type="cellIs" dxfId="4131" priority="4389" operator="greaterThan">
      <formula>1</formula>
    </cfRule>
    <cfRule type="cellIs" dxfId="4130" priority="4390" operator="between">
      <formula>0.95</formula>
      <formula>1</formula>
    </cfRule>
    <cfRule type="cellIs" dxfId="4129" priority="4391" stopIfTrue="1" operator="between">
      <formula>0</formula>
      <formula>0.5</formula>
    </cfRule>
  </conditionalFormatting>
  <conditionalFormatting sqref="R176">
    <cfRule type="cellIs" dxfId="4128" priority="4382" operator="between">
      <formula>0.76</formula>
      <formula>0.95</formula>
    </cfRule>
    <cfRule type="cellIs" dxfId="4127" priority="4383" operator="between">
      <formula>0.51</formula>
      <formula>0.75</formula>
    </cfRule>
    <cfRule type="cellIs" dxfId="4126" priority="4384" operator="greaterThan">
      <formula>1</formula>
    </cfRule>
    <cfRule type="cellIs" dxfId="4125" priority="4385" operator="between">
      <formula>0.95</formula>
      <formula>1</formula>
    </cfRule>
    <cfRule type="cellIs" dxfId="4124" priority="4386" stopIfTrue="1" operator="between">
      <formula>0</formula>
      <formula>0.5</formula>
    </cfRule>
  </conditionalFormatting>
  <conditionalFormatting sqref="R177">
    <cfRule type="cellIs" dxfId="4123" priority="4377" operator="between">
      <formula>0.76</formula>
      <formula>0.95</formula>
    </cfRule>
    <cfRule type="cellIs" dxfId="4122" priority="4378" operator="between">
      <formula>0.51</formula>
      <formula>0.75</formula>
    </cfRule>
    <cfRule type="cellIs" dxfId="4121" priority="4379" operator="greaterThan">
      <formula>1</formula>
    </cfRule>
    <cfRule type="cellIs" dxfId="4120" priority="4380" operator="between">
      <formula>0.95</formula>
      <formula>1</formula>
    </cfRule>
    <cfRule type="cellIs" dxfId="4119" priority="4381" stopIfTrue="1" operator="between">
      <formula>0</formula>
      <formula>0.5</formula>
    </cfRule>
  </conditionalFormatting>
  <conditionalFormatting sqref="R178">
    <cfRule type="cellIs" dxfId="4118" priority="4372" operator="between">
      <formula>0.76</formula>
      <formula>0.95</formula>
    </cfRule>
    <cfRule type="cellIs" dxfId="4117" priority="4373" operator="between">
      <formula>0.51</formula>
      <formula>0.75</formula>
    </cfRule>
    <cfRule type="cellIs" dxfId="4116" priority="4374" operator="greaterThan">
      <formula>1</formula>
    </cfRule>
    <cfRule type="cellIs" dxfId="4115" priority="4375" operator="between">
      <formula>0.95</formula>
      <formula>1</formula>
    </cfRule>
    <cfRule type="cellIs" dxfId="4114" priority="4376" stopIfTrue="1" operator="between">
      <formula>0</formula>
      <formula>0.5</formula>
    </cfRule>
  </conditionalFormatting>
  <conditionalFormatting sqref="R179">
    <cfRule type="cellIs" dxfId="4113" priority="4367" operator="between">
      <formula>0.76</formula>
      <formula>0.95</formula>
    </cfRule>
    <cfRule type="cellIs" dxfId="4112" priority="4368" operator="between">
      <formula>0.51</formula>
      <formula>0.75</formula>
    </cfRule>
    <cfRule type="cellIs" dxfId="4111" priority="4369" operator="greaterThan">
      <formula>1</formula>
    </cfRule>
    <cfRule type="cellIs" dxfId="4110" priority="4370" operator="between">
      <formula>0.95</formula>
      <formula>1</formula>
    </cfRule>
    <cfRule type="cellIs" dxfId="4109" priority="4371" stopIfTrue="1" operator="between">
      <formula>0</formula>
      <formula>0.5</formula>
    </cfRule>
  </conditionalFormatting>
  <conditionalFormatting sqref="R180">
    <cfRule type="cellIs" dxfId="4108" priority="4362" operator="between">
      <formula>0.76</formula>
      <formula>0.95</formula>
    </cfRule>
    <cfRule type="cellIs" dxfId="4107" priority="4363" operator="between">
      <formula>0.51</formula>
      <formula>0.75</formula>
    </cfRule>
    <cfRule type="cellIs" dxfId="4106" priority="4364" operator="greaterThan">
      <formula>1</formula>
    </cfRule>
    <cfRule type="cellIs" dxfId="4105" priority="4365" operator="between">
      <formula>0.95</formula>
      <formula>1</formula>
    </cfRule>
    <cfRule type="cellIs" dxfId="4104" priority="4366" stopIfTrue="1" operator="between">
      <formula>0</formula>
      <formula>0.5</formula>
    </cfRule>
  </conditionalFormatting>
  <conditionalFormatting sqref="R181">
    <cfRule type="cellIs" dxfId="4103" priority="4357" operator="between">
      <formula>0.76</formula>
      <formula>0.95</formula>
    </cfRule>
    <cfRule type="cellIs" dxfId="4102" priority="4358" operator="between">
      <formula>0.51</formula>
      <formula>0.75</formula>
    </cfRule>
    <cfRule type="cellIs" dxfId="4101" priority="4359" operator="greaterThan">
      <formula>1</formula>
    </cfRule>
    <cfRule type="cellIs" dxfId="4100" priority="4360" operator="between">
      <formula>0.95</formula>
      <formula>1</formula>
    </cfRule>
    <cfRule type="cellIs" dxfId="4099" priority="4361" stopIfTrue="1" operator="between">
      <formula>0</formula>
      <formula>0.5</formula>
    </cfRule>
  </conditionalFormatting>
  <conditionalFormatting sqref="R182">
    <cfRule type="cellIs" dxfId="4098" priority="4347" operator="between">
      <formula>0.76</formula>
      <formula>0.95</formula>
    </cfRule>
    <cfRule type="cellIs" dxfId="4097" priority="4348" operator="between">
      <formula>0.51</formula>
      <formula>0.75</formula>
    </cfRule>
    <cfRule type="cellIs" dxfId="4096" priority="4349" operator="greaterThan">
      <formula>1</formula>
    </cfRule>
    <cfRule type="cellIs" dxfId="4095" priority="4350" operator="between">
      <formula>0.95</formula>
      <formula>1</formula>
    </cfRule>
    <cfRule type="cellIs" dxfId="4094" priority="4351" stopIfTrue="1" operator="between">
      <formula>0</formula>
      <formula>0.5</formula>
    </cfRule>
  </conditionalFormatting>
  <conditionalFormatting sqref="R183">
    <cfRule type="cellIs" dxfId="4093" priority="4342" operator="between">
      <formula>0.76</formula>
      <formula>0.95</formula>
    </cfRule>
    <cfRule type="cellIs" dxfId="4092" priority="4343" operator="between">
      <formula>0.51</formula>
      <formula>0.75</formula>
    </cfRule>
    <cfRule type="cellIs" dxfId="4091" priority="4344" operator="greaterThan">
      <formula>1</formula>
    </cfRule>
    <cfRule type="cellIs" dxfId="4090" priority="4345" operator="between">
      <formula>0.95</formula>
      <formula>1</formula>
    </cfRule>
    <cfRule type="cellIs" dxfId="4089" priority="4346" stopIfTrue="1" operator="between">
      <formula>0</formula>
      <formula>0.5</formula>
    </cfRule>
  </conditionalFormatting>
  <conditionalFormatting sqref="R184">
    <cfRule type="cellIs" dxfId="4088" priority="4337" operator="between">
      <formula>0.76</formula>
      <formula>0.95</formula>
    </cfRule>
    <cfRule type="cellIs" dxfId="4087" priority="4338" operator="between">
      <formula>0.51</formula>
      <formula>0.75</formula>
    </cfRule>
    <cfRule type="cellIs" dxfId="4086" priority="4339" operator="greaterThan">
      <formula>1</formula>
    </cfRule>
    <cfRule type="cellIs" dxfId="4085" priority="4340" operator="between">
      <formula>0.95</formula>
      <formula>1</formula>
    </cfRule>
    <cfRule type="cellIs" dxfId="4084" priority="4341" stopIfTrue="1" operator="between">
      <formula>0</formula>
      <formula>0.5</formula>
    </cfRule>
  </conditionalFormatting>
  <conditionalFormatting sqref="R186">
    <cfRule type="cellIs" dxfId="4083" priority="4332" operator="between">
      <formula>0.76</formula>
      <formula>0.95</formula>
    </cfRule>
    <cfRule type="cellIs" dxfId="4082" priority="4333" operator="between">
      <formula>0.51</formula>
      <formula>0.75</formula>
    </cfRule>
    <cfRule type="cellIs" dxfId="4081" priority="4334" operator="greaterThan">
      <formula>1</formula>
    </cfRule>
    <cfRule type="cellIs" dxfId="4080" priority="4335" operator="between">
      <formula>0.95</formula>
      <formula>1</formula>
    </cfRule>
    <cfRule type="cellIs" dxfId="4079" priority="4336" stopIfTrue="1" operator="between">
      <formula>0</formula>
      <formula>0.5</formula>
    </cfRule>
  </conditionalFormatting>
  <conditionalFormatting sqref="R185">
    <cfRule type="cellIs" dxfId="4078" priority="4327" operator="between">
      <formula>0.76</formula>
      <formula>0.95</formula>
    </cfRule>
    <cfRule type="cellIs" dxfId="4077" priority="4328" operator="between">
      <formula>0.51</formula>
      <formula>0.75</formula>
    </cfRule>
    <cfRule type="cellIs" dxfId="4076" priority="4329" operator="greaterThan">
      <formula>1</formula>
    </cfRule>
    <cfRule type="cellIs" dxfId="4075" priority="4330" operator="between">
      <formula>0.95</formula>
      <formula>1</formula>
    </cfRule>
    <cfRule type="cellIs" dxfId="4074" priority="4331" stopIfTrue="1" operator="between">
      <formula>0</formula>
      <formula>0.5</formula>
    </cfRule>
  </conditionalFormatting>
  <conditionalFormatting sqref="R187">
    <cfRule type="cellIs" dxfId="4073" priority="4322" operator="between">
      <formula>0.76</formula>
      <formula>0.95</formula>
    </cfRule>
    <cfRule type="cellIs" dxfId="4072" priority="4323" operator="between">
      <formula>0.51</formula>
      <formula>0.75</formula>
    </cfRule>
    <cfRule type="cellIs" dxfId="4071" priority="4324" operator="greaterThan">
      <formula>1</formula>
    </cfRule>
    <cfRule type="cellIs" dxfId="4070" priority="4325" operator="between">
      <formula>0.95</formula>
      <formula>1</formula>
    </cfRule>
    <cfRule type="cellIs" dxfId="4069" priority="4326" stopIfTrue="1" operator="between">
      <formula>0</formula>
      <formula>0.5</formula>
    </cfRule>
  </conditionalFormatting>
  <conditionalFormatting sqref="R188">
    <cfRule type="cellIs" dxfId="4068" priority="4317" operator="between">
      <formula>0.76</formula>
      <formula>0.95</formula>
    </cfRule>
    <cfRule type="cellIs" dxfId="4067" priority="4318" operator="between">
      <formula>0.51</formula>
      <formula>0.75</formula>
    </cfRule>
    <cfRule type="cellIs" dxfId="4066" priority="4319" operator="greaterThan">
      <formula>1</formula>
    </cfRule>
    <cfRule type="cellIs" dxfId="4065" priority="4320" operator="between">
      <formula>0.95</formula>
      <formula>1</formula>
    </cfRule>
    <cfRule type="cellIs" dxfId="4064" priority="4321" stopIfTrue="1" operator="between">
      <formula>0</formula>
      <formula>0.5</formula>
    </cfRule>
  </conditionalFormatting>
  <conditionalFormatting sqref="R189">
    <cfRule type="cellIs" dxfId="4063" priority="4312" operator="between">
      <formula>0.76</formula>
      <formula>0.95</formula>
    </cfRule>
    <cfRule type="cellIs" dxfId="4062" priority="4313" operator="between">
      <formula>0.51</formula>
      <formula>0.75</formula>
    </cfRule>
    <cfRule type="cellIs" dxfId="4061" priority="4314" operator="greaterThan">
      <formula>1</formula>
    </cfRule>
    <cfRule type="cellIs" dxfId="4060" priority="4315" operator="between">
      <formula>0.95</formula>
      <formula>1</formula>
    </cfRule>
    <cfRule type="cellIs" dxfId="4059" priority="4316" stopIfTrue="1" operator="between">
      <formula>0</formula>
      <formula>0.5</formula>
    </cfRule>
  </conditionalFormatting>
  <conditionalFormatting sqref="R190">
    <cfRule type="cellIs" dxfId="4058" priority="4307" operator="between">
      <formula>0.76</formula>
      <formula>0.95</formula>
    </cfRule>
    <cfRule type="cellIs" dxfId="4057" priority="4308" operator="between">
      <formula>0.51</formula>
      <formula>0.75</formula>
    </cfRule>
    <cfRule type="cellIs" dxfId="4056" priority="4309" operator="greaterThan">
      <formula>1</formula>
    </cfRule>
    <cfRule type="cellIs" dxfId="4055" priority="4310" operator="between">
      <formula>0.95</formula>
      <formula>1</formula>
    </cfRule>
    <cfRule type="cellIs" dxfId="4054" priority="4311" stopIfTrue="1" operator="between">
      <formula>0</formula>
      <formula>0.5</formula>
    </cfRule>
  </conditionalFormatting>
  <conditionalFormatting sqref="R191">
    <cfRule type="cellIs" dxfId="4053" priority="4302" operator="between">
      <formula>0.76</formula>
      <formula>0.95</formula>
    </cfRule>
    <cfRule type="cellIs" dxfId="4052" priority="4303" operator="between">
      <formula>0.51</formula>
      <formula>0.75</formula>
    </cfRule>
    <cfRule type="cellIs" dxfId="4051" priority="4304" operator="greaterThan">
      <formula>1</formula>
    </cfRule>
    <cfRule type="cellIs" dxfId="4050" priority="4305" operator="between">
      <formula>0.95</formula>
      <formula>1</formula>
    </cfRule>
    <cfRule type="cellIs" dxfId="4049" priority="4306" stopIfTrue="1" operator="between">
      <formula>0</formula>
      <formula>0.5</formula>
    </cfRule>
  </conditionalFormatting>
  <conditionalFormatting sqref="R192">
    <cfRule type="cellIs" dxfId="4048" priority="4297" operator="between">
      <formula>0.76</formula>
      <formula>0.95</formula>
    </cfRule>
    <cfRule type="cellIs" dxfId="4047" priority="4298" operator="between">
      <formula>0.51</formula>
      <formula>0.75</formula>
    </cfRule>
    <cfRule type="cellIs" dxfId="4046" priority="4299" operator="greaterThan">
      <formula>1</formula>
    </cfRule>
    <cfRule type="cellIs" dxfId="4045" priority="4300" operator="between">
      <formula>0.95</formula>
      <formula>1</formula>
    </cfRule>
    <cfRule type="cellIs" dxfId="4044" priority="4301" stopIfTrue="1" operator="between">
      <formula>0</formula>
      <formula>0.5</formula>
    </cfRule>
  </conditionalFormatting>
  <conditionalFormatting sqref="R193">
    <cfRule type="cellIs" dxfId="4043" priority="4292" operator="between">
      <formula>0.76</formula>
      <formula>0.95</formula>
    </cfRule>
    <cfRule type="cellIs" dxfId="4042" priority="4293" operator="between">
      <formula>0.51</formula>
      <formula>0.75</formula>
    </cfRule>
    <cfRule type="cellIs" dxfId="4041" priority="4294" operator="greaterThan">
      <formula>1</formula>
    </cfRule>
    <cfRule type="cellIs" dxfId="4040" priority="4295" operator="between">
      <formula>0.95</formula>
      <formula>1</formula>
    </cfRule>
    <cfRule type="cellIs" dxfId="4039" priority="4296" stopIfTrue="1" operator="between">
      <formula>0</formula>
      <formula>0.5</formula>
    </cfRule>
  </conditionalFormatting>
  <conditionalFormatting sqref="R194">
    <cfRule type="cellIs" dxfId="4038" priority="4287" operator="between">
      <formula>0.76</formula>
      <formula>0.95</formula>
    </cfRule>
    <cfRule type="cellIs" dxfId="4037" priority="4288" operator="between">
      <formula>0.51</formula>
      <formula>0.75</formula>
    </cfRule>
    <cfRule type="cellIs" dxfId="4036" priority="4289" operator="greaterThan">
      <formula>1</formula>
    </cfRule>
    <cfRule type="cellIs" dxfId="4035" priority="4290" operator="between">
      <formula>0.95</formula>
      <formula>1</formula>
    </cfRule>
    <cfRule type="cellIs" dxfId="4034" priority="4291" stopIfTrue="1" operator="between">
      <formula>0</formula>
      <formula>0.5</formula>
    </cfRule>
  </conditionalFormatting>
  <conditionalFormatting sqref="R195">
    <cfRule type="cellIs" dxfId="4033" priority="4282" operator="between">
      <formula>0.76</formula>
      <formula>0.95</formula>
    </cfRule>
    <cfRule type="cellIs" dxfId="4032" priority="4283" operator="between">
      <formula>0.51</formula>
      <formula>0.75</formula>
    </cfRule>
    <cfRule type="cellIs" dxfId="4031" priority="4284" operator="greaterThan">
      <formula>1</formula>
    </cfRule>
    <cfRule type="cellIs" dxfId="4030" priority="4285" operator="between">
      <formula>0.95</formula>
      <formula>1</formula>
    </cfRule>
    <cfRule type="cellIs" dxfId="4029" priority="4286" stopIfTrue="1" operator="between">
      <formula>0</formula>
      <formula>0.5</formula>
    </cfRule>
  </conditionalFormatting>
  <conditionalFormatting sqref="R196">
    <cfRule type="cellIs" dxfId="4028" priority="4277" operator="between">
      <formula>0.76</formula>
      <formula>0.95</formula>
    </cfRule>
    <cfRule type="cellIs" dxfId="4027" priority="4278" operator="between">
      <formula>0.51</formula>
      <formula>0.75</formula>
    </cfRule>
    <cfRule type="cellIs" dxfId="4026" priority="4279" operator="greaterThan">
      <formula>1</formula>
    </cfRule>
    <cfRule type="cellIs" dxfId="4025" priority="4280" operator="between">
      <formula>0.95</formula>
      <formula>1</formula>
    </cfRule>
    <cfRule type="cellIs" dxfId="4024" priority="4281" stopIfTrue="1" operator="between">
      <formula>0</formula>
      <formula>0.5</formula>
    </cfRule>
  </conditionalFormatting>
  <conditionalFormatting sqref="R199">
    <cfRule type="cellIs" dxfId="4023" priority="4272" operator="between">
      <formula>0.76</formula>
      <formula>0.95</formula>
    </cfRule>
    <cfRule type="cellIs" dxfId="4022" priority="4273" operator="between">
      <formula>0.51</formula>
      <formula>0.75</formula>
    </cfRule>
    <cfRule type="cellIs" dxfId="4021" priority="4274" operator="greaterThan">
      <formula>1</formula>
    </cfRule>
    <cfRule type="cellIs" dxfId="4020" priority="4275" operator="between">
      <formula>0.95</formula>
      <formula>1</formula>
    </cfRule>
    <cfRule type="cellIs" dxfId="4019" priority="4276" stopIfTrue="1" operator="between">
      <formula>0</formula>
      <formula>0.5</formula>
    </cfRule>
  </conditionalFormatting>
  <conditionalFormatting sqref="R197">
    <cfRule type="cellIs" dxfId="4018" priority="4267" operator="between">
      <formula>0.76</formula>
      <formula>0.95</formula>
    </cfRule>
    <cfRule type="cellIs" dxfId="4017" priority="4268" operator="between">
      <formula>0.51</formula>
      <formula>0.75</formula>
    </cfRule>
    <cfRule type="cellIs" dxfId="4016" priority="4269" operator="greaterThan">
      <formula>1</formula>
    </cfRule>
    <cfRule type="cellIs" dxfId="4015" priority="4270" operator="between">
      <formula>0.95</formula>
      <formula>1</formula>
    </cfRule>
    <cfRule type="cellIs" dxfId="4014" priority="4271" stopIfTrue="1" operator="between">
      <formula>0</formula>
      <formula>0.5</formula>
    </cfRule>
  </conditionalFormatting>
  <conditionalFormatting sqref="R198">
    <cfRule type="cellIs" dxfId="4013" priority="4262" operator="between">
      <formula>0.76</formula>
      <formula>0.95</formula>
    </cfRule>
    <cfRule type="cellIs" dxfId="4012" priority="4263" operator="between">
      <formula>0.51</formula>
      <formula>0.75</formula>
    </cfRule>
    <cfRule type="cellIs" dxfId="4011" priority="4264" operator="greaterThan">
      <formula>1</formula>
    </cfRule>
    <cfRule type="cellIs" dxfId="4010" priority="4265" operator="between">
      <formula>0.95</formula>
      <formula>1</formula>
    </cfRule>
    <cfRule type="cellIs" dxfId="4009" priority="4266" stopIfTrue="1" operator="between">
      <formula>0</formula>
      <formula>0.5</formula>
    </cfRule>
  </conditionalFormatting>
  <conditionalFormatting sqref="R200">
    <cfRule type="cellIs" dxfId="4008" priority="4257" operator="between">
      <formula>0.76</formula>
      <formula>0.95</formula>
    </cfRule>
    <cfRule type="cellIs" dxfId="4007" priority="4258" operator="between">
      <formula>0.51</formula>
      <formula>0.75</formula>
    </cfRule>
    <cfRule type="cellIs" dxfId="4006" priority="4259" operator="greaterThan">
      <formula>1</formula>
    </cfRule>
    <cfRule type="cellIs" dxfId="4005" priority="4260" operator="between">
      <formula>0.95</formula>
      <formula>1</formula>
    </cfRule>
    <cfRule type="cellIs" dxfId="4004" priority="4261" stopIfTrue="1" operator="between">
      <formula>0</formula>
      <formula>0.5</formula>
    </cfRule>
  </conditionalFormatting>
  <conditionalFormatting sqref="R201">
    <cfRule type="cellIs" dxfId="4003" priority="4252" operator="between">
      <formula>0.76</formula>
      <formula>0.95</formula>
    </cfRule>
    <cfRule type="cellIs" dxfId="4002" priority="4253" operator="between">
      <formula>0.51</formula>
      <formula>0.75</formula>
    </cfRule>
    <cfRule type="cellIs" dxfId="4001" priority="4254" operator="greaterThan">
      <formula>1</formula>
    </cfRule>
    <cfRule type="cellIs" dxfId="4000" priority="4255" operator="between">
      <formula>0.95</formula>
      <formula>1</formula>
    </cfRule>
    <cfRule type="cellIs" dxfId="3999" priority="4256" stopIfTrue="1" operator="between">
      <formula>0</formula>
      <formula>0.5</formula>
    </cfRule>
  </conditionalFormatting>
  <conditionalFormatting sqref="R202">
    <cfRule type="cellIs" dxfId="3998" priority="4247" operator="between">
      <formula>0.76</formula>
      <formula>0.95</formula>
    </cfRule>
    <cfRule type="cellIs" dxfId="3997" priority="4248" operator="between">
      <formula>0.51</formula>
      <formula>0.75</formula>
    </cfRule>
    <cfRule type="cellIs" dxfId="3996" priority="4249" operator="greaterThan">
      <formula>1</formula>
    </cfRule>
    <cfRule type="cellIs" dxfId="3995" priority="4250" operator="between">
      <formula>0.95</formula>
      <formula>1</formula>
    </cfRule>
    <cfRule type="cellIs" dxfId="3994" priority="4251" stopIfTrue="1" operator="between">
      <formula>0</formula>
      <formula>0.5</formula>
    </cfRule>
  </conditionalFormatting>
  <conditionalFormatting sqref="R203">
    <cfRule type="cellIs" dxfId="3993" priority="4242" operator="between">
      <formula>0.76</formula>
      <formula>0.95</formula>
    </cfRule>
    <cfRule type="cellIs" dxfId="3992" priority="4243" operator="between">
      <formula>0.51</formula>
      <formula>0.75</formula>
    </cfRule>
    <cfRule type="cellIs" dxfId="3991" priority="4244" operator="greaterThan">
      <formula>1</formula>
    </cfRule>
    <cfRule type="cellIs" dxfId="3990" priority="4245" operator="between">
      <formula>0.95</formula>
      <formula>1</formula>
    </cfRule>
    <cfRule type="cellIs" dxfId="3989" priority="4246" stopIfTrue="1" operator="between">
      <formula>0</formula>
      <formula>0.5</formula>
    </cfRule>
  </conditionalFormatting>
  <conditionalFormatting sqref="R204">
    <cfRule type="cellIs" dxfId="3988" priority="4237" operator="between">
      <formula>0.76</formula>
      <formula>0.95</formula>
    </cfRule>
    <cfRule type="cellIs" dxfId="3987" priority="4238" operator="between">
      <formula>0.51</formula>
      <formula>0.75</formula>
    </cfRule>
    <cfRule type="cellIs" dxfId="3986" priority="4239" operator="greaterThan">
      <formula>1</formula>
    </cfRule>
    <cfRule type="cellIs" dxfId="3985" priority="4240" operator="between">
      <formula>0.95</formula>
      <formula>1</formula>
    </cfRule>
    <cfRule type="cellIs" dxfId="3984" priority="4241" stopIfTrue="1" operator="between">
      <formula>0</formula>
      <formula>0.5</formula>
    </cfRule>
  </conditionalFormatting>
  <conditionalFormatting sqref="R205">
    <cfRule type="cellIs" dxfId="3983" priority="4232" operator="between">
      <formula>0.76</formula>
      <formula>0.95</formula>
    </cfRule>
    <cfRule type="cellIs" dxfId="3982" priority="4233" operator="between">
      <formula>0.51</formula>
      <formula>0.75</formula>
    </cfRule>
    <cfRule type="cellIs" dxfId="3981" priority="4234" operator="greaterThan">
      <formula>1</formula>
    </cfRule>
    <cfRule type="cellIs" dxfId="3980" priority="4235" operator="between">
      <formula>0.95</formula>
      <formula>1</formula>
    </cfRule>
    <cfRule type="cellIs" dxfId="3979" priority="4236" stopIfTrue="1" operator="between">
      <formula>0</formula>
      <formula>0.5</formula>
    </cfRule>
  </conditionalFormatting>
  <conditionalFormatting sqref="R207">
    <cfRule type="cellIs" dxfId="3978" priority="4227" operator="between">
      <formula>0.76</formula>
      <formula>0.95</formula>
    </cfRule>
    <cfRule type="cellIs" dxfId="3977" priority="4228" operator="between">
      <formula>0.51</formula>
      <formula>0.75</formula>
    </cfRule>
    <cfRule type="cellIs" dxfId="3976" priority="4229" operator="greaterThan">
      <formula>1</formula>
    </cfRule>
    <cfRule type="cellIs" dxfId="3975" priority="4230" operator="between">
      <formula>0.95</formula>
      <formula>1</formula>
    </cfRule>
    <cfRule type="cellIs" dxfId="3974" priority="4231" stopIfTrue="1" operator="between">
      <formula>0</formula>
      <formula>0.5</formula>
    </cfRule>
  </conditionalFormatting>
  <conditionalFormatting sqref="R208">
    <cfRule type="cellIs" dxfId="3973" priority="4222" operator="between">
      <formula>0.76</formula>
      <formula>0.95</formula>
    </cfRule>
    <cfRule type="cellIs" dxfId="3972" priority="4223" operator="between">
      <formula>0.51</formula>
      <formula>0.75</formula>
    </cfRule>
    <cfRule type="cellIs" dxfId="3971" priority="4224" operator="greaterThan">
      <formula>1</formula>
    </cfRule>
    <cfRule type="cellIs" dxfId="3970" priority="4225" operator="between">
      <formula>0.95</formula>
      <formula>1</formula>
    </cfRule>
    <cfRule type="cellIs" dxfId="3969" priority="4226" stopIfTrue="1" operator="between">
      <formula>0</formula>
      <formula>0.5</formula>
    </cfRule>
  </conditionalFormatting>
  <conditionalFormatting sqref="R209">
    <cfRule type="cellIs" dxfId="3968" priority="4217" operator="between">
      <formula>0.76</formula>
      <formula>0.95</formula>
    </cfRule>
    <cfRule type="cellIs" dxfId="3967" priority="4218" operator="between">
      <formula>0.51</formula>
      <formula>0.75</formula>
    </cfRule>
    <cfRule type="cellIs" dxfId="3966" priority="4219" operator="greaterThan">
      <formula>1</formula>
    </cfRule>
    <cfRule type="cellIs" dxfId="3965" priority="4220" operator="between">
      <formula>0.95</formula>
      <formula>1</formula>
    </cfRule>
    <cfRule type="cellIs" dxfId="3964" priority="4221" stopIfTrue="1" operator="between">
      <formula>0</formula>
      <formula>0.5</formula>
    </cfRule>
  </conditionalFormatting>
  <conditionalFormatting sqref="R210">
    <cfRule type="cellIs" dxfId="3963" priority="4212" operator="between">
      <formula>0.76</formula>
      <formula>0.95</formula>
    </cfRule>
    <cfRule type="cellIs" dxfId="3962" priority="4213" operator="between">
      <formula>0.51</formula>
      <formula>0.75</formula>
    </cfRule>
    <cfRule type="cellIs" dxfId="3961" priority="4214" operator="greaterThan">
      <formula>1</formula>
    </cfRule>
    <cfRule type="cellIs" dxfId="3960" priority="4215" operator="between">
      <formula>0.95</formula>
      <formula>1</formula>
    </cfRule>
    <cfRule type="cellIs" dxfId="3959" priority="4216" stopIfTrue="1" operator="between">
      <formula>0</formula>
      <formula>0.5</formula>
    </cfRule>
  </conditionalFormatting>
  <conditionalFormatting sqref="R211">
    <cfRule type="cellIs" dxfId="3958" priority="4207" operator="between">
      <formula>0.76</formula>
      <formula>0.95</formula>
    </cfRule>
    <cfRule type="cellIs" dxfId="3957" priority="4208" operator="between">
      <formula>0.51</formula>
      <formula>0.75</formula>
    </cfRule>
    <cfRule type="cellIs" dxfId="3956" priority="4209" operator="greaterThan">
      <formula>1</formula>
    </cfRule>
    <cfRule type="cellIs" dxfId="3955" priority="4210" operator="between">
      <formula>0.95</formula>
      <formula>1</formula>
    </cfRule>
    <cfRule type="cellIs" dxfId="3954" priority="4211" stopIfTrue="1" operator="between">
      <formula>0</formula>
      <formula>0.5</formula>
    </cfRule>
  </conditionalFormatting>
  <conditionalFormatting sqref="R212">
    <cfRule type="cellIs" dxfId="3953" priority="4202" operator="between">
      <formula>0.76</formula>
      <formula>0.95</formula>
    </cfRule>
    <cfRule type="cellIs" dxfId="3952" priority="4203" operator="between">
      <formula>0.51</formula>
      <formula>0.75</formula>
    </cfRule>
    <cfRule type="cellIs" dxfId="3951" priority="4204" operator="greaterThan">
      <formula>1</formula>
    </cfRule>
    <cfRule type="cellIs" dxfId="3950" priority="4205" operator="between">
      <formula>0.95</formula>
      <formula>1</formula>
    </cfRule>
    <cfRule type="cellIs" dxfId="3949" priority="4206" stopIfTrue="1" operator="between">
      <formula>0</formula>
      <formula>0.5</formula>
    </cfRule>
  </conditionalFormatting>
  <conditionalFormatting sqref="R213">
    <cfRule type="cellIs" dxfId="3948" priority="4197" operator="between">
      <formula>0.76</formula>
      <formula>0.95</formula>
    </cfRule>
    <cfRule type="cellIs" dxfId="3947" priority="4198" operator="between">
      <formula>0.51</formula>
      <formula>0.75</formula>
    </cfRule>
    <cfRule type="cellIs" dxfId="3946" priority="4199" operator="greaterThan">
      <formula>1</formula>
    </cfRule>
    <cfRule type="cellIs" dxfId="3945" priority="4200" operator="between">
      <formula>0.95</formula>
      <formula>1</formula>
    </cfRule>
    <cfRule type="cellIs" dxfId="3944" priority="4201" stopIfTrue="1" operator="between">
      <formula>0</formula>
      <formula>0.5</formula>
    </cfRule>
  </conditionalFormatting>
  <conditionalFormatting sqref="R214">
    <cfRule type="cellIs" dxfId="3943" priority="4192" operator="between">
      <formula>0.76</formula>
      <formula>0.95</formula>
    </cfRule>
    <cfRule type="cellIs" dxfId="3942" priority="4193" operator="between">
      <formula>0.51</formula>
      <formula>0.75</formula>
    </cfRule>
    <cfRule type="cellIs" dxfId="3941" priority="4194" operator="greaterThan">
      <formula>1</formula>
    </cfRule>
    <cfRule type="cellIs" dxfId="3940" priority="4195" operator="between">
      <formula>0.95</formula>
      <formula>1</formula>
    </cfRule>
    <cfRule type="cellIs" dxfId="3939" priority="4196" stopIfTrue="1" operator="between">
      <formula>0</formula>
      <formula>0.5</formula>
    </cfRule>
  </conditionalFormatting>
  <conditionalFormatting sqref="R215">
    <cfRule type="cellIs" dxfId="3938" priority="4187" operator="between">
      <formula>0.76</formula>
      <formula>0.95</formula>
    </cfRule>
    <cfRule type="cellIs" dxfId="3937" priority="4188" operator="between">
      <formula>0.51</formula>
      <formula>0.75</formula>
    </cfRule>
    <cfRule type="cellIs" dxfId="3936" priority="4189" operator="greaterThan">
      <formula>1</formula>
    </cfRule>
    <cfRule type="cellIs" dxfId="3935" priority="4190" operator="between">
      <formula>0.95</formula>
      <formula>1</formula>
    </cfRule>
    <cfRule type="cellIs" dxfId="3934" priority="4191" stopIfTrue="1" operator="between">
      <formula>0</formula>
      <formula>0.5</formula>
    </cfRule>
  </conditionalFormatting>
  <conditionalFormatting sqref="R216">
    <cfRule type="cellIs" dxfId="3933" priority="4182" operator="between">
      <formula>0.76</formula>
      <formula>0.95</formula>
    </cfRule>
    <cfRule type="cellIs" dxfId="3932" priority="4183" operator="between">
      <formula>0.51</formula>
      <formula>0.75</formula>
    </cfRule>
    <cfRule type="cellIs" dxfId="3931" priority="4184" operator="greaterThan">
      <formula>1</formula>
    </cfRule>
    <cfRule type="cellIs" dxfId="3930" priority="4185" operator="between">
      <formula>0.95</formula>
      <formula>1</formula>
    </cfRule>
    <cfRule type="cellIs" dxfId="3929" priority="4186" stopIfTrue="1" operator="between">
      <formula>0</formula>
      <formula>0.5</formula>
    </cfRule>
  </conditionalFormatting>
  <conditionalFormatting sqref="R217">
    <cfRule type="cellIs" dxfId="3928" priority="4177" operator="between">
      <formula>0.76</formula>
      <formula>0.95</formula>
    </cfRule>
    <cfRule type="cellIs" dxfId="3927" priority="4178" operator="between">
      <formula>0.51</formula>
      <formula>0.75</formula>
    </cfRule>
    <cfRule type="cellIs" dxfId="3926" priority="4179" operator="greaterThan">
      <formula>1</formula>
    </cfRule>
    <cfRule type="cellIs" dxfId="3925" priority="4180" operator="between">
      <formula>0.95</formula>
      <formula>1</formula>
    </cfRule>
    <cfRule type="cellIs" dxfId="3924" priority="4181" stopIfTrue="1" operator="between">
      <formula>0</formula>
      <formula>0.5</formula>
    </cfRule>
  </conditionalFormatting>
  <conditionalFormatting sqref="V15">
    <cfRule type="cellIs" dxfId="3923" priority="4172" operator="between">
      <formula>0.76</formula>
      <formula>0.95</formula>
    </cfRule>
    <cfRule type="cellIs" dxfId="3922" priority="4173" operator="between">
      <formula>0.51</formula>
      <formula>0.75</formula>
    </cfRule>
    <cfRule type="cellIs" dxfId="3921" priority="4174" operator="greaterThan">
      <formula>1</formula>
    </cfRule>
    <cfRule type="cellIs" dxfId="3920" priority="4175" operator="between">
      <formula>0.95</formula>
      <formula>1</formula>
    </cfRule>
    <cfRule type="cellIs" dxfId="3919" priority="4176" stopIfTrue="1" operator="between">
      <formula>0</formula>
      <formula>0.5</formula>
    </cfRule>
  </conditionalFormatting>
  <conditionalFormatting sqref="V16">
    <cfRule type="cellIs" dxfId="3918" priority="4167" operator="between">
      <formula>0.76</formula>
      <formula>0.95</formula>
    </cfRule>
    <cfRule type="cellIs" dxfId="3917" priority="4168" operator="between">
      <formula>0.51</formula>
      <formula>0.75</formula>
    </cfRule>
    <cfRule type="cellIs" dxfId="3916" priority="4169" operator="greaterThan">
      <formula>1</formula>
    </cfRule>
    <cfRule type="cellIs" dxfId="3915" priority="4170" operator="between">
      <formula>0.95</formula>
      <formula>1</formula>
    </cfRule>
    <cfRule type="cellIs" dxfId="3914" priority="4171" stopIfTrue="1" operator="between">
      <formula>0</formula>
      <formula>0.5</formula>
    </cfRule>
  </conditionalFormatting>
  <conditionalFormatting sqref="V17">
    <cfRule type="cellIs" dxfId="3913" priority="4162" operator="between">
      <formula>0.76</formula>
      <formula>0.95</formula>
    </cfRule>
    <cfRule type="cellIs" dxfId="3912" priority="4163" operator="between">
      <formula>0.51</formula>
      <formula>0.75</formula>
    </cfRule>
    <cfRule type="cellIs" dxfId="3911" priority="4164" operator="greaterThan">
      <formula>1</formula>
    </cfRule>
    <cfRule type="cellIs" dxfId="3910" priority="4165" operator="between">
      <formula>0.95</formula>
      <formula>1</formula>
    </cfRule>
    <cfRule type="cellIs" dxfId="3909" priority="4166" stopIfTrue="1" operator="between">
      <formula>0</formula>
      <formula>0.5</formula>
    </cfRule>
  </conditionalFormatting>
  <conditionalFormatting sqref="V18">
    <cfRule type="cellIs" dxfId="3908" priority="4152" operator="between">
      <formula>0.76</formula>
      <formula>0.95</formula>
    </cfRule>
    <cfRule type="cellIs" dxfId="3907" priority="4153" operator="between">
      <formula>0.51</formula>
      <formula>0.75</formula>
    </cfRule>
    <cfRule type="cellIs" dxfId="3906" priority="4154" operator="greaterThan">
      <formula>1</formula>
    </cfRule>
    <cfRule type="cellIs" dxfId="3905" priority="4155" operator="between">
      <formula>0.95</formula>
      <formula>1</formula>
    </cfRule>
    <cfRule type="cellIs" dxfId="3904" priority="4156" stopIfTrue="1" operator="between">
      <formula>0</formula>
      <formula>0.5</formula>
    </cfRule>
  </conditionalFormatting>
  <conditionalFormatting sqref="V19">
    <cfRule type="cellIs" dxfId="3903" priority="4147" operator="between">
      <formula>0.76</formula>
      <formula>0.95</formula>
    </cfRule>
    <cfRule type="cellIs" dxfId="3902" priority="4148" operator="between">
      <formula>0.51</formula>
      <formula>0.75</formula>
    </cfRule>
    <cfRule type="cellIs" dxfId="3901" priority="4149" operator="greaterThan">
      <formula>1</formula>
    </cfRule>
    <cfRule type="cellIs" dxfId="3900" priority="4150" operator="between">
      <formula>0.95</formula>
      <formula>1</formula>
    </cfRule>
    <cfRule type="cellIs" dxfId="3899" priority="4151" stopIfTrue="1" operator="between">
      <formula>0</formula>
      <formula>0.5</formula>
    </cfRule>
  </conditionalFormatting>
  <conditionalFormatting sqref="V20">
    <cfRule type="cellIs" dxfId="3898" priority="4142" operator="between">
      <formula>0.76</formula>
      <formula>0.95</formula>
    </cfRule>
    <cfRule type="cellIs" dxfId="3897" priority="4143" operator="between">
      <formula>0.51</formula>
      <formula>0.75</formula>
    </cfRule>
    <cfRule type="cellIs" dxfId="3896" priority="4144" operator="greaterThan">
      <formula>1</formula>
    </cfRule>
    <cfRule type="cellIs" dxfId="3895" priority="4145" operator="between">
      <formula>0.95</formula>
      <formula>1</formula>
    </cfRule>
    <cfRule type="cellIs" dxfId="3894" priority="4146" stopIfTrue="1" operator="between">
      <formula>0</formula>
      <formula>0.5</formula>
    </cfRule>
  </conditionalFormatting>
  <conditionalFormatting sqref="V21">
    <cfRule type="cellIs" dxfId="3893" priority="4137" operator="between">
      <formula>0.76</formula>
      <formula>0.95</formula>
    </cfRule>
    <cfRule type="cellIs" dxfId="3892" priority="4138" operator="between">
      <formula>0.51</formula>
      <formula>0.75</formula>
    </cfRule>
    <cfRule type="cellIs" dxfId="3891" priority="4139" operator="greaterThan">
      <formula>1</formula>
    </cfRule>
    <cfRule type="cellIs" dxfId="3890" priority="4140" operator="between">
      <formula>0.95</formula>
      <formula>1</formula>
    </cfRule>
    <cfRule type="cellIs" dxfId="3889" priority="4141" stopIfTrue="1" operator="between">
      <formula>0</formula>
      <formula>0.5</formula>
    </cfRule>
  </conditionalFormatting>
  <conditionalFormatting sqref="V22">
    <cfRule type="cellIs" dxfId="3888" priority="4127" operator="between">
      <formula>0.76</formula>
      <formula>0.95</formula>
    </cfRule>
    <cfRule type="cellIs" dxfId="3887" priority="4128" operator="between">
      <formula>0.51</formula>
      <formula>0.75</formula>
    </cfRule>
    <cfRule type="cellIs" dxfId="3886" priority="4129" operator="greaterThan">
      <formula>1</formula>
    </cfRule>
    <cfRule type="cellIs" dxfId="3885" priority="4130" operator="between">
      <formula>0.95</formula>
      <formula>1</formula>
    </cfRule>
    <cfRule type="cellIs" dxfId="3884" priority="4131" stopIfTrue="1" operator="between">
      <formula>0</formula>
      <formula>0.5</formula>
    </cfRule>
  </conditionalFormatting>
  <conditionalFormatting sqref="V23">
    <cfRule type="cellIs" dxfId="3883" priority="4122" operator="between">
      <formula>0.76</formula>
      <formula>0.95</formula>
    </cfRule>
    <cfRule type="cellIs" dxfId="3882" priority="4123" operator="between">
      <formula>0.51</formula>
      <formula>0.75</formula>
    </cfRule>
    <cfRule type="cellIs" dxfId="3881" priority="4124" operator="greaterThan">
      <formula>1</formula>
    </cfRule>
    <cfRule type="cellIs" dxfId="3880" priority="4125" operator="between">
      <formula>0.95</formula>
      <formula>1</formula>
    </cfRule>
    <cfRule type="cellIs" dxfId="3879" priority="4126" stopIfTrue="1" operator="between">
      <formula>0</formula>
      <formula>0.5</formula>
    </cfRule>
  </conditionalFormatting>
  <conditionalFormatting sqref="V24">
    <cfRule type="cellIs" dxfId="3878" priority="4117" operator="between">
      <formula>0.76</formula>
      <formula>0.95</formula>
    </cfRule>
    <cfRule type="cellIs" dxfId="3877" priority="4118" operator="between">
      <formula>0.51</formula>
      <formula>0.75</formula>
    </cfRule>
    <cfRule type="cellIs" dxfId="3876" priority="4119" operator="greaterThan">
      <formula>1</formula>
    </cfRule>
    <cfRule type="cellIs" dxfId="3875" priority="4120" operator="between">
      <formula>0.95</formula>
      <formula>1</formula>
    </cfRule>
    <cfRule type="cellIs" dxfId="3874" priority="4121" stopIfTrue="1" operator="between">
      <formula>0</formula>
      <formula>0.5</formula>
    </cfRule>
  </conditionalFormatting>
  <conditionalFormatting sqref="V25">
    <cfRule type="cellIs" dxfId="3873" priority="4112" operator="between">
      <formula>0.76</formula>
      <formula>0.95</formula>
    </cfRule>
    <cfRule type="cellIs" dxfId="3872" priority="4113" operator="between">
      <formula>0.51</formula>
      <formula>0.75</formula>
    </cfRule>
    <cfRule type="cellIs" dxfId="3871" priority="4114" operator="greaterThan">
      <formula>1</formula>
    </cfRule>
    <cfRule type="cellIs" dxfId="3870" priority="4115" operator="between">
      <formula>0.95</formula>
      <formula>1</formula>
    </cfRule>
    <cfRule type="cellIs" dxfId="3869" priority="4116" stopIfTrue="1" operator="between">
      <formula>0</formula>
      <formula>0.5</formula>
    </cfRule>
  </conditionalFormatting>
  <conditionalFormatting sqref="V28">
    <cfRule type="cellIs" dxfId="3868" priority="4107" operator="between">
      <formula>0.76</formula>
      <formula>0.95</formula>
    </cfRule>
    <cfRule type="cellIs" dxfId="3867" priority="4108" operator="between">
      <formula>0.51</formula>
      <formula>0.75</formula>
    </cfRule>
    <cfRule type="cellIs" dxfId="3866" priority="4109" operator="greaterThan">
      <formula>1</formula>
    </cfRule>
    <cfRule type="cellIs" dxfId="3865" priority="4110" operator="between">
      <formula>0.95</formula>
      <formula>1</formula>
    </cfRule>
    <cfRule type="cellIs" dxfId="3864" priority="4111" stopIfTrue="1" operator="between">
      <formula>0</formula>
      <formula>0.5</formula>
    </cfRule>
  </conditionalFormatting>
  <conditionalFormatting sqref="V27">
    <cfRule type="cellIs" dxfId="3863" priority="4102" operator="between">
      <formula>0.76</formula>
      <formula>0.95</formula>
    </cfRule>
    <cfRule type="cellIs" dxfId="3862" priority="4103" operator="between">
      <formula>0.51</formula>
      <formula>0.75</formula>
    </cfRule>
    <cfRule type="cellIs" dxfId="3861" priority="4104" operator="greaterThan">
      <formula>1</formula>
    </cfRule>
    <cfRule type="cellIs" dxfId="3860" priority="4105" operator="between">
      <formula>0.95</formula>
      <formula>1</formula>
    </cfRule>
    <cfRule type="cellIs" dxfId="3859" priority="4106" stopIfTrue="1" operator="between">
      <formula>0</formula>
      <formula>0.5</formula>
    </cfRule>
  </conditionalFormatting>
  <conditionalFormatting sqref="V29">
    <cfRule type="cellIs" dxfId="3858" priority="4097" operator="between">
      <formula>0.76</formula>
      <formula>0.95</formula>
    </cfRule>
    <cfRule type="cellIs" dxfId="3857" priority="4098" operator="between">
      <formula>0.51</formula>
      <formula>0.75</formula>
    </cfRule>
    <cfRule type="cellIs" dxfId="3856" priority="4099" operator="greaterThan">
      <formula>1</formula>
    </cfRule>
    <cfRule type="cellIs" dxfId="3855" priority="4100" operator="between">
      <formula>0.95</formula>
      <formula>1</formula>
    </cfRule>
    <cfRule type="cellIs" dxfId="3854" priority="4101" stopIfTrue="1" operator="between">
      <formula>0</formula>
      <formula>0.5</formula>
    </cfRule>
  </conditionalFormatting>
  <conditionalFormatting sqref="V30">
    <cfRule type="cellIs" dxfId="3853" priority="4092" operator="between">
      <formula>0.76</formula>
      <formula>0.95</formula>
    </cfRule>
    <cfRule type="cellIs" dxfId="3852" priority="4093" operator="between">
      <formula>0.51</formula>
      <formula>0.75</formula>
    </cfRule>
    <cfRule type="cellIs" dxfId="3851" priority="4094" operator="greaterThan">
      <formula>1</formula>
    </cfRule>
    <cfRule type="cellIs" dxfId="3850" priority="4095" operator="between">
      <formula>0.95</formula>
      <formula>1</formula>
    </cfRule>
    <cfRule type="cellIs" dxfId="3849" priority="4096" stopIfTrue="1" operator="between">
      <formula>0</formula>
      <formula>0.5</formula>
    </cfRule>
  </conditionalFormatting>
  <conditionalFormatting sqref="V31">
    <cfRule type="cellIs" dxfId="3848" priority="4087" operator="between">
      <formula>0.76</formula>
      <formula>0.95</formula>
    </cfRule>
    <cfRule type="cellIs" dxfId="3847" priority="4088" operator="between">
      <formula>0.51</formula>
      <formula>0.75</formula>
    </cfRule>
    <cfRule type="cellIs" dxfId="3846" priority="4089" operator="greaterThan">
      <formula>1</formula>
    </cfRule>
    <cfRule type="cellIs" dxfId="3845" priority="4090" operator="between">
      <formula>0.95</formula>
      <formula>1</formula>
    </cfRule>
    <cfRule type="cellIs" dxfId="3844" priority="4091" stopIfTrue="1" operator="between">
      <formula>0</formula>
      <formula>0.5</formula>
    </cfRule>
  </conditionalFormatting>
  <conditionalFormatting sqref="V32">
    <cfRule type="cellIs" dxfId="3843" priority="4082" operator="between">
      <formula>0.76</formula>
      <formula>0.95</formula>
    </cfRule>
    <cfRule type="cellIs" dxfId="3842" priority="4083" operator="between">
      <formula>0.51</formula>
      <formula>0.75</formula>
    </cfRule>
    <cfRule type="cellIs" dxfId="3841" priority="4084" operator="greaterThan">
      <formula>1</formula>
    </cfRule>
    <cfRule type="cellIs" dxfId="3840" priority="4085" operator="between">
      <formula>0.95</formula>
      <formula>1</formula>
    </cfRule>
    <cfRule type="cellIs" dxfId="3839" priority="4086" stopIfTrue="1" operator="between">
      <formula>0</formula>
      <formula>0.5</formula>
    </cfRule>
  </conditionalFormatting>
  <conditionalFormatting sqref="V33">
    <cfRule type="cellIs" dxfId="3838" priority="4077" operator="between">
      <formula>0.76</formula>
      <formula>0.95</formula>
    </cfRule>
    <cfRule type="cellIs" dxfId="3837" priority="4078" operator="between">
      <formula>0.51</formula>
      <formula>0.75</formula>
    </cfRule>
    <cfRule type="cellIs" dxfId="3836" priority="4079" operator="greaterThan">
      <formula>1</formula>
    </cfRule>
    <cfRule type="cellIs" dxfId="3835" priority="4080" operator="between">
      <formula>0.95</formula>
      <formula>1</formula>
    </cfRule>
    <cfRule type="cellIs" dxfId="3834" priority="4081" stopIfTrue="1" operator="between">
      <formula>0</formula>
      <formula>0.5</formula>
    </cfRule>
  </conditionalFormatting>
  <conditionalFormatting sqref="V34">
    <cfRule type="cellIs" dxfId="3833" priority="4072" operator="between">
      <formula>0.76</formula>
      <formula>0.95</formula>
    </cfRule>
    <cfRule type="cellIs" dxfId="3832" priority="4073" operator="between">
      <formula>0.51</formula>
      <formula>0.75</formula>
    </cfRule>
    <cfRule type="cellIs" dxfId="3831" priority="4074" operator="greaterThan">
      <formula>1</formula>
    </cfRule>
    <cfRule type="cellIs" dxfId="3830" priority="4075" operator="between">
      <formula>0.95</formula>
      <formula>1</formula>
    </cfRule>
    <cfRule type="cellIs" dxfId="3829" priority="4076" stopIfTrue="1" operator="between">
      <formula>0</formula>
      <formula>0.5</formula>
    </cfRule>
  </conditionalFormatting>
  <conditionalFormatting sqref="V35">
    <cfRule type="cellIs" dxfId="3828" priority="4057" operator="between">
      <formula>0.76</formula>
      <formula>0.95</formula>
    </cfRule>
    <cfRule type="cellIs" dxfId="3827" priority="4058" operator="between">
      <formula>0.51</formula>
      <formula>0.75</formula>
    </cfRule>
    <cfRule type="cellIs" dxfId="3826" priority="4059" operator="greaterThan">
      <formula>1</formula>
    </cfRule>
    <cfRule type="cellIs" dxfId="3825" priority="4060" operator="between">
      <formula>0.95</formula>
      <formula>1</formula>
    </cfRule>
    <cfRule type="cellIs" dxfId="3824" priority="4061" stopIfTrue="1" operator="between">
      <formula>0</formula>
      <formula>0.5</formula>
    </cfRule>
  </conditionalFormatting>
  <conditionalFormatting sqref="V36">
    <cfRule type="cellIs" dxfId="3823" priority="4052" operator="between">
      <formula>0.76</formula>
      <formula>0.95</formula>
    </cfRule>
    <cfRule type="cellIs" dxfId="3822" priority="4053" operator="between">
      <formula>0.51</formula>
      <formula>0.75</formula>
    </cfRule>
    <cfRule type="cellIs" dxfId="3821" priority="4054" operator="greaterThan">
      <formula>1</formula>
    </cfRule>
    <cfRule type="cellIs" dxfId="3820" priority="4055" operator="between">
      <formula>0.95</formula>
      <formula>1</formula>
    </cfRule>
    <cfRule type="cellIs" dxfId="3819" priority="4056" stopIfTrue="1" operator="between">
      <formula>0</formula>
      <formula>0.5</formula>
    </cfRule>
  </conditionalFormatting>
  <conditionalFormatting sqref="V37">
    <cfRule type="cellIs" dxfId="3818" priority="4047" operator="between">
      <formula>0.76</formula>
      <formula>0.95</formula>
    </cfRule>
    <cfRule type="cellIs" dxfId="3817" priority="4048" operator="between">
      <formula>0.51</formula>
      <formula>0.75</formula>
    </cfRule>
    <cfRule type="cellIs" dxfId="3816" priority="4049" operator="greaterThan">
      <formula>1</formula>
    </cfRule>
    <cfRule type="cellIs" dxfId="3815" priority="4050" operator="between">
      <formula>0.95</formula>
      <formula>1</formula>
    </cfRule>
    <cfRule type="cellIs" dxfId="3814" priority="4051" stopIfTrue="1" operator="between">
      <formula>0</formula>
      <formula>0.5</formula>
    </cfRule>
  </conditionalFormatting>
  <conditionalFormatting sqref="V38">
    <cfRule type="cellIs" dxfId="3813" priority="4042" operator="between">
      <formula>0.76</formula>
      <formula>0.95</formula>
    </cfRule>
    <cfRule type="cellIs" dxfId="3812" priority="4043" operator="between">
      <formula>0.51</formula>
      <formula>0.75</formula>
    </cfRule>
    <cfRule type="cellIs" dxfId="3811" priority="4044" operator="greaterThan">
      <formula>1</formula>
    </cfRule>
    <cfRule type="cellIs" dxfId="3810" priority="4045" operator="between">
      <formula>0.95</formula>
      <formula>1</formula>
    </cfRule>
    <cfRule type="cellIs" dxfId="3809" priority="4046" stopIfTrue="1" operator="between">
      <formula>0</formula>
      <formula>0.5</formula>
    </cfRule>
  </conditionalFormatting>
  <conditionalFormatting sqref="V39">
    <cfRule type="cellIs" dxfId="3808" priority="4037" operator="between">
      <formula>0.76</formula>
      <formula>0.95</formula>
    </cfRule>
    <cfRule type="cellIs" dxfId="3807" priority="4038" operator="between">
      <formula>0.51</formula>
      <formula>0.75</formula>
    </cfRule>
    <cfRule type="cellIs" dxfId="3806" priority="4039" operator="greaterThan">
      <formula>1</formula>
    </cfRule>
    <cfRule type="cellIs" dxfId="3805" priority="4040" operator="between">
      <formula>0.95</formula>
      <formula>1</formula>
    </cfRule>
    <cfRule type="cellIs" dxfId="3804" priority="4041" stopIfTrue="1" operator="between">
      <formula>0</formula>
      <formula>0.5</formula>
    </cfRule>
  </conditionalFormatting>
  <conditionalFormatting sqref="V40">
    <cfRule type="cellIs" dxfId="3803" priority="4032" operator="between">
      <formula>0.76</formula>
      <formula>0.95</formula>
    </cfRule>
    <cfRule type="cellIs" dxfId="3802" priority="4033" operator="between">
      <formula>0.51</formula>
      <formula>0.75</formula>
    </cfRule>
    <cfRule type="cellIs" dxfId="3801" priority="4034" operator="greaterThan">
      <formula>1</formula>
    </cfRule>
    <cfRule type="cellIs" dxfId="3800" priority="4035" operator="between">
      <formula>0.95</formula>
      <formula>1</formula>
    </cfRule>
    <cfRule type="cellIs" dxfId="3799" priority="4036" stopIfTrue="1" operator="between">
      <formula>0</formula>
      <formula>0.5</formula>
    </cfRule>
  </conditionalFormatting>
  <conditionalFormatting sqref="V41">
    <cfRule type="cellIs" dxfId="3798" priority="4027" operator="between">
      <formula>0.76</formula>
      <formula>0.95</formula>
    </cfRule>
    <cfRule type="cellIs" dxfId="3797" priority="4028" operator="between">
      <formula>0.51</formula>
      <formula>0.75</formula>
    </cfRule>
    <cfRule type="cellIs" dxfId="3796" priority="4029" operator="greaterThan">
      <formula>1</formula>
    </cfRule>
    <cfRule type="cellIs" dxfId="3795" priority="4030" operator="between">
      <formula>0.95</formula>
      <formula>1</formula>
    </cfRule>
    <cfRule type="cellIs" dxfId="3794" priority="4031" stopIfTrue="1" operator="between">
      <formula>0</formula>
      <formula>0.5</formula>
    </cfRule>
  </conditionalFormatting>
  <conditionalFormatting sqref="V42">
    <cfRule type="cellIs" dxfId="3793" priority="4022" operator="between">
      <formula>0.76</formula>
      <formula>0.95</formula>
    </cfRule>
    <cfRule type="cellIs" dxfId="3792" priority="4023" operator="between">
      <formula>0.51</formula>
      <formula>0.75</formula>
    </cfRule>
    <cfRule type="cellIs" dxfId="3791" priority="4024" operator="greaterThan">
      <formula>1</formula>
    </cfRule>
    <cfRule type="cellIs" dxfId="3790" priority="4025" operator="between">
      <formula>0.95</formula>
      <formula>1</formula>
    </cfRule>
    <cfRule type="cellIs" dxfId="3789" priority="4026" stopIfTrue="1" operator="between">
      <formula>0</formula>
      <formula>0.5</formula>
    </cfRule>
  </conditionalFormatting>
  <conditionalFormatting sqref="V43">
    <cfRule type="cellIs" dxfId="3788" priority="4017" operator="between">
      <formula>0.76</formula>
      <formula>0.95</formula>
    </cfRule>
    <cfRule type="cellIs" dxfId="3787" priority="4018" operator="between">
      <formula>0.51</formula>
      <formula>0.75</formula>
    </cfRule>
    <cfRule type="cellIs" dxfId="3786" priority="4019" operator="greaterThan">
      <formula>1</formula>
    </cfRule>
    <cfRule type="cellIs" dxfId="3785" priority="4020" operator="between">
      <formula>0.95</formula>
      <formula>1</formula>
    </cfRule>
    <cfRule type="cellIs" dxfId="3784" priority="4021" stopIfTrue="1" operator="between">
      <formula>0</formula>
      <formula>0.5</formula>
    </cfRule>
  </conditionalFormatting>
  <conditionalFormatting sqref="V44">
    <cfRule type="cellIs" dxfId="3783" priority="4012" operator="between">
      <formula>0.76</formula>
      <formula>0.95</formula>
    </cfRule>
    <cfRule type="cellIs" dxfId="3782" priority="4013" operator="between">
      <formula>0.51</formula>
      <formula>0.75</formula>
    </cfRule>
    <cfRule type="cellIs" dxfId="3781" priority="4014" operator="greaterThan">
      <formula>1</formula>
    </cfRule>
    <cfRule type="cellIs" dxfId="3780" priority="4015" operator="between">
      <formula>0.95</formula>
      <formula>1</formula>
    </cfRule>
    <cfRule type="cellIs" dxfId="3779" priority="4016" stopIfTrue="1" operator="between">
      <formula>0</formula>
      <formula>0.5</formula>
    </cfRule>
  </conditionalFormatting>
  <conditionalFormatting sqref="V45">
    <cfRule type="cellIs" dxfId="3778" priority="4007" operator="between">
      <formula>0.76</formula>
      <formula>0.95</formula>
    </cfRule>
    <cfRule type="cellIs" dxfId="3777" priority="4008" operator="between">
      <formula>0.51</formula>
      <formula>0.75</formula>
    </cfRule>
    <cfRule type="cellIs" dxfId="3776" priority="4009" operator="greaterThan">
      <formula>1</formula>
    </cfRule>
    <cfRule type="cellIs" dxfId="3775" priority="4010" operator="between">
      <formula>0.95</formula>
      <formula>1</formula>
    </cfRule>
    <cfRule type="cellIs" dxfId="3774" priority="4011" stopIfTrue="1" operator="between">
      <formula>0</formula>
      <formula>0.5</formula>
    </cfRule>
  </conditionalFormatting>
  <conditionalFormatting sqref="V46">
    <cfRule type="cellIs" dxfId="3773" priority="4002" operator="between">
      <formula>0.76</formula>
      <formula>0.95</formula>
    </cfRule>
    <cfRule type="cellIs" dxfId="3772" priority="4003" operator="between">
      <formula>0.51</formula>
      <formula>0.75</formula>
    </cfRule>
    <cfRule type="cellIs" dxfId="3771" priority="4004" operator="greaterThan">
      <formula>1</formula>
    </cfRule>
    <cfRule type="cellIs" dxfId="3770" priority="4005" operator="between">
      <formula>0.95</formula>
      <formula>1</formula>
    </cfRule>
    <cfRule type="cellIs" dxfId="3769" priority="4006" stopIfTrue="1" operator="between">
      <formula>0</formula>
      <formula>0.5</formula>
    </cfRule>
  </conditionalFormatting>
  <conditionalFormatting sqref="V47">
    <cfRule type="cellIs" dxfId="3768" priority="3997" operator="between">
      <formula>0.76</formula>
      <formula>0.95</formula>
    </cfRule>
    <cfRule type="cellIs" dxfId="3767" priority="3998" operator="between">
      <formula>0.51</formula>
      <formula>0.75</formula>
    </cfRule>
    <cfRule type="cellIs" dxfId="3766" priority="3999" operator="greaterThan">
      <formula>1</formula>
    </cfRule>
    <cfRule type="cellIs" dxfId="3765" priority="4000" operator="between">
      <formula>0.95</formula>
      <formula>1</formula>
    </cfRule>
    <cfRule type="cellIs" dxfId="3764" priority="4001" stopIfTrue="1" operator="between">
      <formula>0</formula>
      <formula>0.5</formula>
    </cfRule>
  </conditionalFormatting>
  <conditionalFormatting sqref="V48">
    <cfRule type="cellIs" dxfId="3763" priority="3992" operator="between">
      <formula>0.76</formula>
      <formula>0.95</formula>
    </cfRule>
    <cfRule type="cellIs" dxfId="3762" priority="3993" operator="between">
      <formula>0.51</formula>
      <formula>0.75</formula>
    </cfRule>
    <cfRule type="cellIs" dxfId="3761" priority="3994" operator="greaterThan">
      <formula>1</formula>
    </cfRule>
    <cfRule type="cellIs" dxfId="3760" priority="3995" operator="between">
      <formula>0.95</formula>
      <formula>1</formula>
    </cfRule>
    <cfRule type="cellIs" dxfId="3759" priority="3996" stopIfTrue="1" operator="between">
      <formula>0</formula>
      <formula>0.5</formula>
    </cfRule>
  </conditionalFormatting>
  <conditionalFormatting sqref="V49">
    <cfRule type="cellIs" dxfId="3758" priority="3987" operator="between">
      <formula>0.76</formula>
      <formula>0.95</formula>
    </cfRule>
    <cfRule type="cellIs" dxfId="3757" priority="3988" operator="between">
      <formula>0.51</formula>
      <formula>0.75</formula>
    </cfRule>
    <cfRule type="cellIs" dxfId="3756" priority="3989" operator="greaterThan">
      <formula>1</formula>
    </cfRule>
    <cfRule type="cellIs" dxfId="3755" priority="3990" operator="between">
      <formula>0.95</formula>
      <formula>1</formula>
    </cfRule>
    <cfRule type="cellIs" dxfId="3754" priority="3991" stopIfTrue="1" operator="between">
      <formula>0</formula>
      <formula>0.5</formula>
    </cfRule>
  </conditionalFormatting>
  <conditionalFormatting sqref="V50">
    <cfRule type="cellIs" dxfId="3753" priority="3982" operator="between">
      <formula>0.76</formula>
      <formula>0.95</formula>
    </cfRule>
    <cfRule type="cellIs" dxfId="3752" priority="3983" operator="between">
      <formula>0.51</formula>
      <formula>0.75</formula>
    </cfRule>
    <cfRule type="cellIs" dxfId="3751" priority="3984" operator="greaterThan">
      <formula>1</formula>
    </cfRule>
    <cfRule type="cellIs" dxfId="3750" priority="3985" operator="between">
      <formula>0.95</formula>
      <formula>1</formula>
    </cfRule>
    <cfRule type="cellIs" dxfId="3749" priority="3986" stopIfTrue="1" operator="between">
      <formula>0</formula>
      <formula>0.5</formula>
    </cfRule>
  </conditionalFormatting>
  <conditionalFormatting sqref="V51">
    <cfRule type="cellIs" dxfId="3748" priority="3977" operator="between">
      <formula>0.76</formula>
      <formula>0.95</formula>
    </cfRule>
    <cfRule type="cellIs" dxfId="3747" priority="3978" operator="between">
      <formula>0.51</formula>
      <formula>0.75</formula>
    </cfRule>
    <cfRule type="cellIs" dxfId="3746" priority="3979" operator="greaterThan">
      <formula>1</formula>
    </cfRule>
    <cfRule type="cellIs" dxfId="3745" priority="3980" operator="between">
      <formula>0.95</formula>
      <formula>1</formula>
    </cfRule>
    <cfRule type="cellIs" dxfId="3744" priority="3981" stopIfTrue="1" operator="between">
      <formula>0</formula>
      <formula>0.5</formula>
    </cfRule>
  </conditionalFormatting>
  <conditionalFormatting sqref="V52">
    <cfRule type="cellIs" dxfId="3743" priority="3972" operator="between">
      <formula>0.76</formula>
      <formula>0.95</formula>
    </cfRule>
    <cfRule type="cellIs" dxfId="3742" priority="3973" operator="between">
      <formula>0.51</formula>
      <formula>0.75</formula>
    </cfRule>
    <cfRule type="cellIs" dxfId="3741" priority="3974" operator="greaterThan">
      <formula>1</formula>
    </cfRule>
    <cfRule type="cellIs" dxfId="3740" priority="3975" operator="between">
      <formula>0.95</formula>
      <formula>1</formula>
    </cfRule>
    <cfRule type="cellIs" dxfId="3739" priority="3976" stopIfTrue="1" operator="between">
      <formula>0</formula>
      <formula>0.5</formula>
    </cfRule>
  </conditionalFormatting>
  <conditionalFormatting sqref="V53">
    <cfRule type="cellIs" dxfId="3738" priority="3967" operator="between">
      <formula>0.76</formula>
      <formula>0.95</formula>
    </cfRule>
    <cfRule type="cellIs" dxfId="3737" priority="3968" operator="between">
      <formula>0.51</formula>
      <formula>0.75</formula>
    </cfRule>
    <cfRule type="cellIs" dxfId="3736" priority="3969" operator="greaterThan">
      <formula>1</formula>
    </cfRule>
    <cfRule type="cellIs" dxfId="3735" priority="3970" operator="between">
      <formula>0.95</formula>
      <formula>1</formula>
    </cfRule>
    <cfRule type="cellIs" dxfId="3734" priority="3971" stopIfTrue="1" operator="between">
      <formula>0</formula>
      <formula>0.5</formula>
    </cfRule>
  </conditionalFormatting>
  <conditionalFormatting sqref="V54">
    <cfRule type="cellIs" dxfId="3733" priority="3962" operator="between">
      <formula>0.76</formula>
      <formula>0.95</formula>
    </cfRule>
    <cfRule type="cellIs" dxfId="3732" priority="3963" operator="between">
      <formula>0.51</formula>
      <formula>0.75</formula>
    </cfRule>
    <cfRule type="cellIs" dxfId="3731" priority="3964" operator="greaterThan">
      <formula>1</formula>
    </cfRule>
    <cfRule type="cellIs" dxfId="3730" priority="3965" operator="between">
      <formula>0.95</formula>
      <formula>1</formula>
    </cfRule>
    <cfRule type="cellIs" dxfId="3729" priority="3966" stopIfTrue="1" operator="between">
      <formula>0</formula>
      <formula>0.5</formula>
    </cfRule>
  </conditionalFormatting>
  <conditionalFormatting sqref="V55">
    <cfRule type="cellIs" dxfId="3728" priority="3957" operator="between">
      <formula>0.76</formula>
      <formula>0.95</formula>
    </cfRule>
    <cfRule type="cellIs" dxfId="3727" priority="3958" operator="between">
      <formula>0.51</formula>
      <formula>0.75</formula>
    </cfRule>
    <cfRule type="cellIs" dxfId="3726" priority="3959" operator="greaterThan">
      <formula>1</formula>
    </cfRule>
    <cfRule type="cellIs" dxfId="3725" priority="3960" operator="between">
      <formula>0.95</formula>
      <formula>1</formula>
    </cfRule>
    <cfRule type="cellIs" dxfId="3724" priority="3961" stopIfTrue="1" operator="between">
      <formula>0</formula>
      <formula>0.5</formula>
    </cfRule>
  </conditionalFormatting>
  <conditionalFormatting sqref="V56">
    <cfRule type="cellIs" dxfId="3723" priority="3952" operator="between">
      <formula>0.76</formula>
      <formula>0.95</formula>
    </cfRule>
    <cfRule type="cellIs" dxfId="3722" priority="3953" operator="between">
      <formula>0.51</formula>
      <formula>0.75</formula>
    </cfRule>
    <cfRule type="cellIs" dxfId="3721" priority="3954" operator="greaterThan">
      <formula>1</formula>
    </cfRule>
    <cfRule type="cellIs" dxfId="3720" priority="3955" operator="between">
      <formula>0.95</formula>
      <formula>1</formula>
    </cfRule>
    <cfRule type="cellIs" dxfId="3719" priority="3956" stopIfTrue="1" operator="between">
      <formula>0</formula>
      <formula>0.5</formula>
    </cfRule>
  </conditionalFormatting>
  <conditionalFormatting sqref="V57">
    <cfRule type="cellIs" dxfId="3718" priority="3947" operator="between">
      <formula>0.76</formula>
      <formula>0.95</formula>
    </cfRule>
    <cfRule type="cellIs" dxfId="3717" priority="3948" operator="between">
      <formula>0.51</formula>
      <formula>0.75</formula>
    </cfRule>
    <cfRule type="cellIs" dxfId="3716" priority="3949" operator="greaterThan">
      <formula>1</formula>
    </cfRule>
    <cfRule type="cellIs" dxfId="3715" priority="3950" operator="between">
      <formula>0.95</formula>
      <formula>1</formula>
    </cfRule>
    <cfRule type="cellIs" dxfId="3714" priority="3951" stopIfTrue="1" operator="between">
      <formula>0</formula>
      <formula>0.5</formula>
    </cfRule>
  </conditionalFormatting>
  <conditionalFormatting sqref="V58">
    <cfRule type="cellIs" dxfId="3713" priority="3937" operator="between">
      <formula>0.76</formula>
      <formula>0.95</formula>
    </cfRule>
    <cfRule type="cellIs" dxfId="3712" priority="3938" operator="between">
      <formula>0.51</formula>
      <formula>0.75</formula>
    </cfRule>
    <cfRule type="cellIs" dxfId="3711" priority="3939" operator="greaterThan">
      <formula>1</formula>
    </cfRule>
    <cfRule type="cellIs" dxfId="3710" priority="3940" operator="between">
      <formula>0.95</formula>
      <formula>1</formula>
    </cfRule>
    <cfRule type="cellIs" dxfId="3709" priority="3941" stopIfTrue="1" operator="between">
      <formula>0</formula>
      <formula>0.5</formula>
    </cfRule>
  </conditionalFormatting>
  <conditionalFormatting sqref="V59">
    <cfRule type="cellIs" dxfId="3708" priority="3932" operator="between">
      <formula>0.76</formula>
      <formula>0.95</formula>
    </cfRule>
    <cfRule type="cellIs" dxfId="3707" priority="3933" operator="between">
      <formula>0.51</formula>
      <formula>0.75</formula>
    </cfRule>
    <cfRule type="cellIs" dxfId="3706" priority="3934" operator="greaterThan">
      <formula>1</formula>
    </cfRule>
    <cfRule type="cellIs" dxfId="3705" priority="3935" operator="between">
      <formula>0.95</formula>
      <formula>1</formula>
    </cfRule>
    <cfRule type="cellIs" dxfId="3704" priority="3936" stopIfTrue="1" operator="between">
      <formula>0</formula>
      <formula>0.5</formula>
    </cfRule>
  </conditionalFormatting>
  <conditionalFormatting sqref="V60">
    <cfRule type="cellIs" dxfId="3703" priority="3927" operator="between">
      <formula>0.76</formula>
      <formula>0.95</formula>
    </cfRule>
    <cfRule type="cellIs" dxfId="3702" priority="3928" operator="between">
      <formula>0.51</formula>
      <formula>0.75</formula>
    </cfRule>
    <cfRule type="cellIs" dxfId="3701" priority="3929" operator="greaterThan">
      <formula>1</formula>
    </cfRule>
    <cfRule type="cellIs" dxfId="3700" priority="3930" operator="between">
      <formula>0.95</formula>
      <formula>1</formula>
    </cfRule>
    <cfRule type="cellIs" dxfId="3699" priority="3931" stopIfTrue="1" operator="between">
      <formula>0</formula>
      <formula>0.5</formula>
    </cfRule>
  </conditionalFormatting>
  <conditionalFormatting sqref="V61">
    <cfRule type="cellIs" dxfId="3698" priority="3922" operator="between">
      <formula>0.76</formula>
      <formula>0.95</formula>
    </cfRule>
    <cfRule type="cellIs" dxfId="3697" priority="3923" operator="between">
      <formula>0.51</formula>
      <formula>0.75</formula>
    </cfRule>
    <cfRule type="cellIs" dxfId="3696" priority="3924" operator="greaterThan">
      <formula>1</formula>
    </cfRule>
    <cfRule type="cellIs" dxfId="3695" priority="3925" operator="between">
      <formula>0.95</formula>
      <formula>1</formula>
    </cfRule>
    <cfRule type="cellIs" dxfId="3694" priority="3926" stopIfTrue="1" operator="between">
      <formula>0</formula>
      <formula>0.5</formula>
    </cfRule>
  </conditionalFormatting>
  <conditionalFormatting sqref="V63">
    <cfRule type="cellIs" dxfId="3693" priority="3917" operator="between">
      <formula>0.76</formula>
      <formula>0.95</formula>
    </cfRule>
    <cfRule type="cellIs" dxfId="3692" priority="3918" operator="between">
      <formula>0.51</formula>
      <formula>0.75</formula>
    </cfRule>
    <cfRule type="cellIs" dxfId="3691" priority="3919" operator="greaterThan">
      <formula>1</formula>
    </cfRule>
    <cfRule type="cellIs" dxfId="3690" priority="3920" operator="between">
      <formula>0.95</formula>
      <formula>1</formula>
    </cfRule>
    <cfRule type="cellIs" dxfId="3689" priority="3921" stopIfTrue="1" operator="between">
      <formula>0</formula>
      <formula>0.5</formula>
    </cfRule>
  </conditionalFormatting>
  <conditionalFormatting sqref="V64">
    <cfRule type="cellIs" dxfId="3688" priority="3912" operator="between">
      <formula>0.76</formula>
      <formula>0.95</formula>
    </cfRule>
    <cfRule type="cellIs" dxfId="3687" priority="3913" operator="between">
      <formula>0.51</formula>
      <formula>0.75</formula>
    </cfRule>
    <cfRule type="cellIs" dxfId="3686" priority="3914" operator="greaterThan">
      <formula>1</formula>
    </cfRule>
    <cfRule type="cellIs" dxfId="3685" priority="3915" operator="between">
      <formula>0.95</formula>
      <formula>1</formula>
    </cfRule>
    <cfRule type="cellIs" dxfId="3684" priority="3916" stopIfTrue="1" operator="between">
      <formula>0</formula>
      <formula>0.5</formula>
    </cfRule>
  </conditionalFormatting>
  <conditionalFormatting sqref="V65">
    <cfRule type="cellIs" dxfId="3683" priority="3907" operator="between">
      <formula>0.76</formula>
      <formula>0.95</formula>
    </cfRule>
    <cfRule type="cellIs" dxfId="3682" priority="3908" operator="between">
      <formula>0.51</formula>
      <formula>0.75</formula>
    </cfRule>
    <cfRule type="cellIs" dxfId="3681" priority="3909" operator="greaterThan">
      <formula>1</formula>
    </cfRule>
    <cfRule type="cellIs" dxfId="3680" priority="3910" operator="between">
      <formula>0.95</formula>
      <formula>1</formula>
    </cfRule>
    <cfRule type="cellIs" dxfId="3679" priority="3911" stopIfTrue="1" operator="between">
      <formula>0</formula>
      <formula>0.5</formula>
    </cfRule>
  </conditionalFormatting>
  <conditionalFormatting sqref="V66">
    <cfRule type="cellIs" dxfId="3678" priority="3902" operator="between">
      <formula>0.76</formula>
      <formula>0.95</formula>
    </cfRule>
    <cfRule type="cellIs" dxfId="3677" priority="3903" operator="between">
      <formula>0.51</formula>
      <formula>0.75</formula>
    </cfRule>
    <cfRule type="cellIs" dxfId="3676" priority="3904" operator="greaterThan">
      <formula>1</formula>
    </cfRule>
    <cfRule type="cellIs" dxfId="3675" priority="3905" operator="between">
      <formula>0.95</formula>
      <formula>1</formula>
    </cfRule>
    <cfRule type="cellIs" dxfId="3674" priority="3906" stopIfTrue="1" operator="between">
      <formula>0</formula>
      <formula>0.5</formula>
    </cfRule>
  </conditionalFormatting>
  <conditionalFormatting sqref="V67">
    <cfRule type="cellIs" dxfId="3673" priority="3897" operator="between">
      <formula>0.76</formula>
      <formula>0.95</formula>
    </cfRule>
    <cfRule type="cellIs" dxfId="3672" priority="3898" operator="between">
      <formula>0.51</formula>
      <formula>0.75</formula>
    </cfRule>
    <cfRule type="cellIs" dxfId="3671" priority="3899" operator="greaterThan">
      <formula>1</formula>
    </cfRule>
    <cfRule type="cellIs" dxfId="3670" priority="3900" operator="between">
      <formula>0.95</formula>
      <formula>1</formula>
    </cfRule>
    <cfRule type="cellIs" dxfId="3669" priority="3901" stopIfTrue="1" operator="between">
      <formula>0</formula>
      <formula>0.5</formula>
    </cfRule>
  </conditionalFormatting>
  <conditionalFormatting sqref="V68">
    <cfRule type="cellIs" dxfId="3668" priority="3892" operator="between">
      <formula>0.76</formula>
      <formula>0.95</formula>
    </cfRule>
    <cfRule type="cellIs" dxfId="3667" priority="3893" operator="between">
      <formula>0.51</formula>
      <formula>0.75</formula>
    </cfRule>
    <cfRule type="cellIs" dxfId="3666" priority="3894" operator="greaterThan">
      <formula>1</formula>
    </cfRule>
    <cfRule type="cellIs" dxfId="3665" priority="3895" operator="between">
      <formula>0.95</formula>
      <formula>1</formula>
    </cfRule>
    <cfRule type="cellIs" dxfId="3664" priority="3896" stopIfTrue="1" operator="between">
      <formula>0</formula>
      <formula>0.5</formula>
    </cfRule>
  </conditionalFormatting>
  <conditionalFormatting sqref="V69">
    <cfRule type="cellIs" dxfId="3663" priority="3887" operator="between">
      <formula>0.76</formula>
      <formula>0.95</formula>
    </cfRule>
    <cfRule type="cellIs" dxfId="3662" priority="3888" operator="between">
      <formula>0.51</formula>
      <formula>0.75</formula>
    </cfRule>
    <cfRule type="cellIs" dxfId="3661" priority="3889" operator="greaterThan">
      <formula>1</formula>
    </cfRule>
    <cfRule type="cellIs" dxfId="3660" priority="3890" operator="between">
      <formula>0.95</formula>
      <formula>1</formula>
    </cfRule>
    <cfRule type="cellIs" dxfId="3659" priority="3891" stopIfTrue="1" operator="between">
      <formula>0</formula>
      <formula>0.5</formula>
    </cfRule>
  </conditionalFormatting>
  <conditionalFormatting sqref="V70">
    <cfRule type="cellIs" dxfId="3658" priority="3882" operator="between">
      <formula>0.76</formula>
      <formula>0.95</formula>
    </cfRule>
    <cfRule type="cellIs" dxfId="3657" priority="3883" operator="between">
      <formula>0.51</formula>
      <formula>0.75</formula>
    </cfRule>
    <cfRule type="cellIs" dxfId="3656" priority="3884" operator="greaterThan">
      <formula>1</formula>
    </cfRule>
    <cfRule type="cellIs" dxfId="3655" priority="3885" operator="between">
      <formula>0.95</formula>
      <formula>1</formula>
    </cfRule>
    <cfRule type="cellIs" dxfId="3654" priority="3886" stopIfTrue="1" operator="between">
      <formula>0</formula>
      <formula>0.5</formula>
    </cfRule>
  </conditionalFormatting>
  <conditionalFormatting sqref="V71">
    <cfRule type="cellIs" dxfId="3653" priority="3877" operator="between">
      <formula>0.76</formula>
      <formula>0.95</formula>
    </cfRule>
    <cfRule type="cellIs" dxfId="3652" priority="3878" operator="between">
      <formula>0.51</formula>
      <formula>0.75</formula>
    </cfRule>
    <cfRule type="cellIs" dxfId="3651" priority="3879" operator="greaterThan">
      <formula>1</formula>
    </cfRule>
    <cfRule type="cellIs" dxfId="3650" priority="3880" operator="between">
      <formula>0.95</formula>
      <formula>1</formula>
    </cfRule>
    <cfRule type="cellIs" dxfId="3649" priority="3881" stopIfTrue="1" operator="between">
      <formula>0</formula>
      <formula>0.5</formula>
    </cfRule>
  </conditionalFormatting>
  <conditionalFormatting sqref="V72">
    <cfRule type="cellIs" dxfId="3648" priority="3872" operator="between">
      <formula>0.76</formula>
      <formula>0.95</formula>
    </cfRule>
    <cfRule type="cellIs" dxfId="3647" priority="3873" operator="between">
      <formula>0.51</formula>
      <formula>0.75</formula>
    </cfRule>
    <cfRule type="cellIs" dxfId="3646" priority="3874" operator="greaterThan">
      <formula>1</formula>
    </cfRule>
    <cfRule type="cellIs" dxfId="3645" priority="3875" operator="between">
      <formula>0.95</formula>
      <formula>1</formula>
    </cfRule>
    <cfRule type="cellIs" dxfId="3644" priority="3876" stopIfTrue="1" operator="between">
      <formula>0</formula>
      <formula>0.5</formula>
    </cfRule>
  </conditionalFormatting>
  <conditionalFormatting sqref="V73">
    <cfRule type="cellIs" dxfId="3643" priority="3867" operator="between">
      <formula>0.76</formula>
      <formula>0.95</formula>
    </cfRule>
    <cfRule type="cellIs" dxfId="3642" priority="3868" operator="between">
      <formula>0.51</formula>
      <formula>0.75</formula>
    </cfRule>
    <cfRule type="cellIs" dxfId="3641" priority="3869" operator="greaterThan">
      <formula>1</formula>
    </cfRule>
    <cfRule type="cellIs" dxfId="3640" priority="3870" operator="between">
      <formula>0.95</formula>
      <formula>1</formula>
    </cfRule>
    <cfRule type="cellIs" dxfId="3639" priority="3871" stopIfTrue="1" operator="between">
      <formula>0</formula>
      <formula>0.5</formula>
    </cfRule>
  </conditionalFormatting>
  <conditionalFormatting sqref="V74">
    <cfRule type="cellIs" dxfId="3638" priority="3862" operator="between">
      <formula>0.76</formula>
      <formula>0.95</formula>
    </cfRule>
    <cfRule type="cellIs" dxfId="3637" priority="3863" operator="between">
      <formula>0.51</formula>
      <formula>0.75</formula>
    </cfRule>
    <cfRule type="cellIs" dxfId="3636" priority="3864" operator="greaterThan">
      <formula>1</formula>
    </cfRule>
    <cfRule type="cellIs" dxfId="3635" priority="3865" operator="between">
      <formula>0.95</formula>
      <formula>1</formula>
    </cfRule>
    <cfRule type="cellIs" dxfId="3634" priority="3866" stopIfTrue="1" operator="between">
      <formula>0</formula>
      <formula>0.5</formula>
    </cfRule>
  </conditionalFormatting>
  <conditionalFormatting sqref="V75">
    <cfRule type="cellIs" dxfId="3633" priority="3857" operator="between">
      <formula>0.76</formula>
      <formula>0.95</formula>
    </cfRule>
    <cfRule type="cellIs" dxfId="3632" priority="3858" operator="between">
      <formula>0.51</formula>
      <formula>0.75</formula>
    </cfRule>
    <cfRule type="cellIs" dxfId="3631" priority="3859" operator="greaterThan">
      <formula>1</formula>
    </cfRule>
    <cfRule type="cellIs" dxfId="3630" priority="3860" operator="between">
      <formula>0.95</formula>
      <formula>1</formula>
    </cfRule>
    <cfRule type="cellIs" dxfId="3629" priority="3861" stopIfTrue="1" operator="between">
      <formula>0</formula>
      <formula>0.5</formula>
    </cfRule>
  </conditionalFormatting>
  <conditionalFormatting sqref="V78">
    <cfRule type="cellIs" dxfId="3628" priority="3852" operator="between">
      <formula>0.76</formula>
      <formula>0.95</formula>
    </cfRule>
    <cfRule type="cellIs" dxfId="3627" priority="3853" operator="between">
      <formula>0.51</formula>
      <formula>0.75</formula>
    </cfRule>
    <cfRule type="cellIs" dxfId="3626" priority="3854" operator="greaterThan">
      <formula>1</formula>
    </cfRule>
    <cfRule type="cellIs" dxfId="3625" priority="3855" operator="between">
      <formula>0.95</formula>
      <formula>1</formula>
    </cfRule>
    <cfRule type="cellIs" dxfId="3624" priority="3856" stopIfTrue="1" operator="between">
      <formula>0</formula>
      <formula>0.5</formula>
    </cfRule>
  </conditionalFormatting>
  <conditionalFormatting sqref="V79">
    <cfRule type="cellIs" dxfId="3623" priority="3847" operator="between">
      <formula>0.76</formula>
      <formula>0.95</formula>
    </cfRule>
    <cfRule type="cellIs" dxfId="3622" priority="3848" operator="between">
      <formula>0.51</formula>
      <formula>0.75</formula>
    </cfRule>
    <cfRule type="cellIs" dxfId="3621" priority="3849" operator="greaterThan">
      <formula>1</formula>
    </cfRule>
    <cfRule type="cellIs" dxfId="3620" priority="3850" operator="between">
      <formula>0.95</formula>
      <formula>1</formula>
    </cfRule>
    <cfRule type="cellIs" dxfId="3619" priority="3851" stopIfTrue="1" operator="between">
      <formula>0</formula>
      <formula>0.5</formula>
    </cfRule>
  </conditionalFormatting>
  <conditionalFormatting sqref="V80">
    <cfRule type="cellIs" dxfId="3618" priority="3837" operator="between">
      <formula>0.76</formula>
      <formula>0.95</formula>
    </cfRule>
    <cfRule type="cellIs" dxfId="3617" priority="3838" operator="between">
      <formula>0.51</formula>
      <formula>0.75</formula>
    </cfRule>
    <cfRule type="cellIs" dxfId="3616" priority="3839" operator="greaterThan">
      <formula>1</formula>
    </cfRule>
    <cfRule type="cellIs" dxfId="3615" priority="3840" operator="between">
      <formula>0.95</formula>
      <formula>1</formula>
    </cfRule>
    <cfRule type="cellIs" dxfId="3614" priority="3841" stopIfTrue="1" operator="between">
      <formula>0</formula>
      <formula>0.5</formula>
    </cfRule>
  </conditionalFormatting>
  <conditionalFormatting sqref="V81">
    <cfRule type="cellIs" dxfId="3613" priority="3832" operator="between">
      <formula>0.76</formula>
      <formula>0.95</formula>
    </cfRule>
    <cfRule type="cellIs" dxfId="3612" priority="3833" operator="between">
      <formula>0.51</formula>
      <formula>0.75</formula>
    </cfRule>
    <cfRule type="cellIs" dxfId="3611" priority="3834" operator="greaterThan">
      <formula>1</formula>
    </cfRule>
    <cfRule type="cellIs" dxfId="3610" priority="3835" operator="between">
      <formula>0.95</formula>
      <formula>1</formula>
    </cfRule>
    <cfRule type="cellIs" dxfId="3609" priority="3836" stopIfTrue="1" operator="between">
      <formula>0</formula>
      <formula>0.5</formula>
    </cfRule>
  </conditionalFormatting>
  <conditionalFormatting sqref="V82">
    <cfRule type="cellIs" dxfId="3608" priority="3827" operator="between">
      <formula>0.76</formula>
      <formula>0.95</formula>
    </cfRule>
    <cfRule type="cellIs" dxfId="3607" priority="3828" operator="between">
      <formula>0.51</formula>
      <formula>0.75</formula>
    </cfRule>
    <cfRule type="cellIs" dxfId="3606" priority="3829" operator="greaterThan">
      <formula>1</formula>
    </cfRule>
    <cfRule type="cellIs" dxfId="3605" priority="3830" operator="between">
      <formula>0.95</formula>
      <formula>1</formula>
    </cfRule>
    <cfRule type="cellIs" dxfId="3604" priority="3831" stopIfTrue="1" operator="between">
      <formula>0</formula>
      <formula>0.5</formula>
    </cfRule>
  </conditionalFormatting>
  <conditionalFormatting sqref="V83">
    <cfRule type="cellIs" dxfId="3603" priority="3822" operator="between">
      <formula>0.76</formula>
      <formula>0.95</formula>
    </cfRule>
    <cfRule type="cellIs" dxfId="3602" priority="3823" operator="between">
      <formula>0.51</formula>
      <formula>0.75</formula>
    </cfRule>
    <cfRule type="cellIs" dxfId="3601" priority="3824" operator="greaterThan">
      <formula>1</formula>
    </cfRule>
    <cfRule type="cellIs" dxfId="3600" priority="3825" operator="between">
      <formula>0.95</formula>
      <formula>1</formula>
    </cfRule>
    <cfRule type="cellIs" dxfId="3599" priority="3826" stopIfTrue="1" operator="between">
      <formula>0</formula>
      <formula>0.5</formula>
    </cfRule>
  </conditionalFormatting>
  <conditionalFormatting sqref="V88">
    <cfRule type="cellIs" dxfId="3598" priority="3817" operator="between">
      <formula>0.76</formula>
      <formula>0.95</formula>
    </cfRule>
    <cfRule type="cellIs" dxfId="3597" priority="3818" operator="between">
      <formula>0.51</formula>
      <formula>0.75</formula>
    </cfRule>
    <cfRule type="cellIs" dxfId="3596" priority="3819" operator="greaterThan">
      <formula>1</formula>
    </cfRule>
    <cfRule type="cellIs" dxfId="3595" priority="3820" operator="between">
      <formula>0.95</formula>
      <formula>1</formula>
    </cfRule>
    <cfRule type="cellIs" dxfId="3594" priority="3821" stopIfTrue="1" operator="between">
      <formula>0</formula>
      <formula>0.5</formula>
    </cfRule>
  </conditionalFormatting>
  <conditionalFormatting sqref="V91">
    <cfRule type="cellIs" dxfId="3593" priority="3812" operator="between">
      <formula>0.76</formula>
      <formula>0.95</formula>
    </cfRule>
    <cfRule type="cellIs" dxfId="3592" priority="3813" operator="between">
      <formula>0.51</formula>
      <formula>0.75</formula>
    </cfRule>
    <cfRule type="cellIs" dxfId="3591" priority="3814" operator="greaterThan">
      <formula>1</formula>
    </cfRule>
    <cfRule type="cellIs" dxfId="3590" priority="3815" operator="between">
      <formula>0.95</formula>
      <formula>1</formula>
    </cfRule>
    <cfRule type="cellIs" dxfId="3589" priority="3816" stopIfTrue="1" operator="between">
      <formula>0</formula>
      <formula>0.5</formula>
    </cfRule>
  </conditionalFormatting>
  <conditionalFormatting sqref="V92">
    <cfRule type="cellIs" dxfId="3588" priority="3807" operator="between">
      <formula>0.76</formula>
      <formula>0.95</formula>
    </cfRule>
    <cfRule type="cellIs" dxfId="3587" priority="3808" operator="between">
      <formula>0.51</formula>
      <formula>0.75</formula>
    </cfRule>
    <cfRule type="cellIs" dxfId="3586" priority="3809" operator="greaterThan">
      <formula>1</formula>
    </cfRule>
    <cfRule type="cellIs" dxfId="3585" priority="3810" operator="between">
      <formula>0.95</formula>
      <formula>1</formula>
    </cfRule>
    <cfRule type="cellIs" dxfId="3584" priority="3811" stopIfTrue="1" operator="between">
      <formula>0</formula>
      <formula>0.5</formula>
    </cfRule>
  </conditionalFormatting>
  <conditionalFormatting sqref="V93">
    <cfRule type="cellIs" dxfId="3583" priority="3802" operator="between">
      <formula>0.76</formula>
      <formula>0.95</formula>
    </cfRule>
    <cfRule type="cellIs" dxfId="3582" priority="3803" operator="between">
      <formula>0.51</formula>
      <formula>0.75</formula>
    </cfRule>
    <cfRule type="cellIs" dxfId="3581" priority="3804" operator="greaterThan">
      <formula>1</formula>
    </cfRule>
    <cfRule type="cellIs" dxfId="3580" priority="3805" operator="between">
      <formula>0.95</formula>
      <formula>1</formula>
    </cfRule>
    <cfRule type="cellIs" dxfId="3579" priority="3806" stopIfTrue="1" operator="between">
      <formula>0</formula>
      <formula>0.5</formula>
    </cfRule>
  </conditionalFormatting>
  <conditionalFormatting sqref="V94">
    <cfRule type="cellIs" dxfId="3578" priority="3797" operator="between">
      <formula>0.76</formula>
      <formula>0.95</formula>
    </cfRule>
    <cfRule type="cellIs" dxfId="3577" priority="3798" operator="between">
      <formula>0.51</formula>
      <formula>0.75</formula>
    </cfRule>
    <cfRule type="cellIs" dxfId="3576" priority="3799" operator="greaterThan">
      <formula>1</formula>
    </cfRule>
    <cfRule type="cellIs" dxfId="3575" priority="3800" operator="between">
      <formula>0.95</formula>
      <formula>1</formula>
    </cfRule>
    <cfRule type="cellIs" dxfId="3574" priority="3801" stopIfTrue="1" operator="between">
      <formula>0</formula>
      <formula>0.5</formula>
    </cfRule>
  </conditionalFormatting>
  <conditionalFormatting sqref="V95">
    <cfRule type="cellIs" dxfId="3573" priority="3792" operator="between">
      <formula>0.76</formula>
      <formula>0.95</formula>
    </cfRule>
    <cfRule type="cellIs" dxfId="3572" priority="3793" operator="between">
      <formula>0.51</formula>
      <formula>0.75</formula>
    </cfRule>
    <cfRule type="cellIs" dxfId="3571" priority="3794" operator="greaterThan">
      <formula>1</formula>
    </cfRule>
    <cfRule type="cellIs" dxfId="3570" priority="3795" operator="between">
      <formula>0.95</formula>
      <formula>1</formula>
    </cfRule>
    <cfRule type="cellIs" dxfId="3569" priority="3796" stopIfTrue="1" operator="between">
      <formula>0</formula>
      <formula>0.5</formula>
    </cfRule>
  </conditionalFormatting>
  <conditionalFormatting sqref="V96">
    <cfRule type="cellIs" dxfId="3568" priority="3787" operator="between">
      <formula>0.76</formula>
      <formula>0.95</formula>
    </cfRule>
    <cfRule type="cellIs" dxfId="3567" priority="3788" operator="between">
      <formula>0.51</formula>
      <formula>0.75</formula>
    </cfRule>
    <cfRule type="cellIs" dxfId="3566" priority="3789" operator="greaterThan">
      <formula>1</formula>
    </cfRule>
    <cfRule type="cellIs" dxfId="3565" priority="3790" operator="between">
      <formula>0.95</formula>
      <formula>1</formula>
    </cfRule>
    <cfRule type="cellIs" dxfId="3564" priority="3791" stopIfTrue="1" operator="between">
      <formula>0</formula>
      <formula>0.5</formula>
    </cfRule>
  </conditionalFormatting>
  <conditionalFormatting sqref="V98">
    <cfRule type="cellIs" dxfId="3563" priority="3782" operator="between">
      <formula>0.76</formula>
      <formula>0.95</formula>
    </cfRule>
    <cfRule type="cellIs" dxfId="3562" priority="3783" operator="between">
      <formula>0.51</formula>
      <formula>0.75</formula>
    </cfRule>
    <cfRule type="cellIs" dxfId="3561" priority="3784" operator="greaterThan">
      <formula>1</formula>
    </cfRule>
    <cfRule type="cellIs" dxfId="3560" priority="3785" operator="between">
      <formula>0.95</formula>
      <formula>1</formula>
    </cfRule>
    <cfRule type="cellIs" dxfId="3559" priority="3786" stopIfTrue="1" operator="between">
      <formula>0</formula>
      <formula>0.5</formula>
    </cfRule>
  </conditionalFormatting>
  <conditionalFormatting sqref="V99">
    <cfRule type="cellIs" dxfId="3558" priority="3772" operator="between">
      <formula>0.76</formula>
      <formula>0.95</formula>
    </cfRule>
    <cfRule type="cellIs" dxfId="3557" priority="3773" operator="between">
      <formula>0.51</formula>
      <formula>0.75</formula>
    </cfRule>
    <cfRule type="cellIs" dxfId="3556" priority="3774" operator="greaterThan">
      <formula>1</formula>
    </cfRule>
    <cfRule type="cellIs" dxfId="3555" priority="3775" operator="between">
      <formula>0.95</formula>
      <formula>1</formula>
    </cfRule>
    <cfRule type="cellIs" dxfId="3554" priority="3776" stopIfTrue="1" operator="between">
      <formula>0</formula>
      <formula>0.5</formula>
    </cfRule>
  </conditionalFormatting>
  <conditionalFormatting sqref="V101">
    <cfRule type="cellIs" dxfId="3553" priority="3762" operator="between">
      <formula>0.76</formula>
      <formula>0.95</formula>
    </cfRule>
    <cfRule type="cellIs" dxfId="3552" priority="3763" operator="between">
      <formula>0.51</formula>
      <formula>0.75</formula>
    </cfRule>
    <cfRule type="cellIs" dxfId="3551" priority="3764" operator="greaterThan">
      <formula>1</formula>
    </cfRule>
    <cfRule type="cellIs" dxfId="3550" priority="3765" operator="between">
      <formula>0.95</formula>
      <formula>1</formula>
    </cfRule>
    <cfRule type="cellIs" dxfId="3549" priority="3766" stopIfTrue="1" operator="between">
      <formula>0</formula>
      <formula>0.5</formula>
    </cfRule>
  </conditionalFormatting>
  <conditionalFormatting sqref="V103">
    <cfRule type="cellIs" dxfId="3548" priority="3752" operator="between">
      <formula>0.76</formula>
      <formula>0.95</formula>
    </cfRule>
    <cfRule type="cellIs" dxfId="3547" priority="3753" operator="between">
      <formula>0.51</formula>
      <formula>0.75</formula>
    </cfRule>
    <cfRule type="cellIs" dxfId="3546" priority="3754" operator="greaterThan">
      <formula>1</formula>
    </cfRule>
    <cfRule type="cellIs" dxfId="3545" priority="3755" operator="between">
      <formula>0.95</formula>
      <formula>1</formula>
    </cfRule>
    <cfRule type="cellIs" dxfId="3544" priority="3756" stopIfTrue="1" operator="between">
      <formula>0</formula>
      <formula>0.5</formula>
    </cfRule>
  </conditionalFormatting>
  <conditionalFormatting sqref="V104">
    <cfRule type="cellIs" dxfId="3543" priority="3747" operator="between">
      <formula>0.76</formula>
      <formula>0.95</formula>
    </cfRule>
    <cfRule type="cellIs" dxfId="3542" priority="3748" operator="between">
      <formula>0.51</formula>
      <formula>0.75</formula>
    </cfRule>
    <cfRule type="cellIs" dxfId="3541" priority="3749" operator="greaterThan">
      <formula>1</formula>
    </cfRule>
    <cfRule type="cellIs" dxfId="3540" priority="3750" operator="between">
      <formula>0.95</formula>
      <formula>1</formula>
    </cfRule>
    <cfRule type="cellIs" dxfId="3539" priority="3751" stopIfTrue="1" operator="between">
      <formula>0</formula>
      <formula>0.5</formula>
    </cfRule>
  </conditionalFormatting>
  <conditionalFormatting sqref="V105">
    <cfRule type="cellIs" dxfId="3538" priority="3742" operator="between">
      <formula>0.76</formula>
      <formula>0.95</formula>
    </cfRule>
    <cfRule type="cellIs" dxfId="3537" priority="3743" operator="between">
      <formula>0.51</formula>
      <formula>0.75</formula>
    </cfRule>
    <cfRule type="cellIs" dxfId="3536" priority="3744" operator="greaterThan">
      <formula>1</formula>
    </cfRule>
    <cfRule type="cellIs" dxfId="3535" priority="3745" operator="between">
      <formula>0.95</formula>
      <formula>1</formula>
    </cfRule>
    <cfRule type="cellIs" dxfId="3534" priority="3746" stopIfTrue="1" operator="between">
      <formula>0</formula>
      <formula>0.5</formula>
    </cfRule>
  </conditionalFormatting>
  <conditionalFormatting sqref="V106">
    <cfRule type="cellIs" dxfId="3533" priority="3737" operator="between">
      <formula>0.76</formula>
      <formula>0.95</formula>
    </cfRule>
    <cfRule type="cellIs" dxfId="3532" priority="3738" operator="between">
      <formula>0.51</formula>
      <formula>0.75</formula>
    </cfRule>
    <cfRule type="cellIs" dxfId="3531" priority="3739" operator="greaterThan">
      <formula>1</formula>
    </cfRule>
    <cfRule type="cellIs" dxfId="3530" priority="3740" operator="between">
      <formula>0.95</formula>
      <formula>1</formula>
    </cfRule>
    <cfRule type="cellIs" dxfId="3529" priority="3741" stopIfTrue="1" operator="between">
      <formula>0</formula>
      <formula>0.5</formula>
    </cfRule>
  </conditionalFormatting>
  <conditionalFormatting sqref="V107">
    <cfRule type="cellIs" dxfId="3528" priority="3732" operator="between">
      <formula>0.76</formula>
      <formula>0.95</formula>
    </cfRule>
    <cfRule type="cellIs" dxfId="3527" priority="3733" operator="between">
      <formula>0.51</formula>
      <formula>0.75</formula>
    </cfRule>
    <cfRule type="cellIs" dxfId="3526" priority="3734" operator="greaterThan">
      <formula>1</formula>
    </cfRule>
    <cfRule type="cellIs" dxfId="3525" priority="3735" operator="between">
      <formula>0.95</formula>
      <formula>1</formula>
    </cfRule>
    <cfRule type="cellIs" dxfId="3524" priority="3736" stopIfTrue="1" operator="between">
      <formula>0</formula>
      <formula>0.5</formula>
    </cfRule>
  </conditionalFormatting>
  <conditionalFormatting sqref="V108:V109">
    <cfRule type="cellIs" dxfId="3523" priority="3727" operator="between">
      <formula>0.76</formula>
      <formula>0.95</formula>
    </cfRule>
    <cfRule type="cellIs" dxfId="3522" priority="3728" operator="between">
      <formula>0.51</formula>
      <formula>0.75</formula>
    </cfRule>
    <cfRule type="cellIs" dxfId="3521" priority="3729" operator="greaterThan">
      <formula>1</formula>
    </cfRule>
    <cfRule type="cellIs" dxfId="3520" priority="3730" operator="between">
      <formula>0.95</formula>
      <formula>1</formula>
    </cfRule>
    <cfRule type="cellIs" dxfId="3519" priority="3731" stopIfTrue="1" operator="between">
      <formula>0</formula>
      <formula>0.5</formula>
    </cfRule>
  </conditionalFormatting>
  <conditionalFormatting sqref="V110">
    <cfRule type="cellIs" dxfId="3518" priority="3722" operator="between">
      <formula>0.76</formula>
      <formula>0.95</formula>
    </cfRule>
    <cfRule type="cellIs" dxfId="3517" priority="3723" operator="between">
      <formula>0.51</formula>
      <formula>0.75</formula>
    </cfRule>
    <cfRule type="cellIs" dxfId="3516" priority="3724" operator="greaterThan">
      <formula>1</formula>
    </cfRule>
    <cfRule type="cellIs" dxfId="3515" priority="3725" operator="between">
      <formula>0.95</formula>
      <formula>1</formula>
    </cfRule>
    <cfRule type="cellIs" dxfId="3514" priority="3726" stopIfTrue="1" operator="between">
      <formula>0</formula>
      <formula>0.5</formula>
    </cfRule>
  </conditionalFormatting>
  <conditionalFormatting sqref="V111">
    <cfRule type="cellIs" dxfId="3513" priority="3717" operator="between">
      <formula>0.76</formula>
      <formula>0.95</formula>
    </cfRule>
    <cfRule type="cellIs" dxfId="3512" priority="3718" operator="between">
      <formula>0.51</formula>
      <formula>0.75</formula>
    </cfRule>
    <cfRule type="cellIs" dxfId="3511" priority="3719" operator="greaterThan">
      <formula>1</formula>
    </cfRule>
    <cfRule type="cellIs" dxfId="3510" priority="3720" operator="between">
      <formula>0.95</formula>
      <formula>1</formula>
    </cfRule>
    <cfRule type="cellIs" dxfId="3509" priority="3721" stopIfTrue="1" operator="between">
      <formula>0</formula>
      <formula>0.5</formula>
    </cfRule>
  </conditionalFormatting>
  <conditionalFormatting sqref="V113">
    <cfRule type="cellIs" dxfId="3508" priority="3707" operator="between">
      <formula>0.76</formula>
      <formula>0.95</formula>
    </cfRule>
    <cfRule type="cellIs" dxfId="3507" priority="3708" operator="between">
      <formula>0.51</formula>
      <formula>0.75</formula>
    </cfRule>
    <cfRule type="cellIs" dxfId="3506" priority="3709" operator="greaterThan">
      <formula>1</formula>
    </cfRule>
    <cfRule type="cellIs" dxfId="3505" priority="3710" operator="between">
      <formula>0.95</formula>
      <formula>1</formula>
    </cfRule>
    <cfRule type="cellIs" dxfId="3504" priority="3711" stopIfTrue="1" operator="between">
      <formula>0</formula>
      <formula>0.5</formula>
    </cfRule>
  </conditionalFormatting>
  <conditionalFormatting sqref="V114">
    <cfRule type="cellIs" dxfId="3503" priority="3697" operator="between">
      <formula>0.76</formula>
      <formula>0.95</formula>
    </cfRule>
    <cfRule type="cellIs" dxfId="3502" priority="3698" operator="between">
      <formula>0.51</formula>
      <formula>0.75</formula>
    </cfRule>
    <cfRule type="cellIs" dxfId="3501" priority="3699" operator="greaterThan">
      <formula>1</formula>
    </cfRule>
    <cfRule type="cellIs" dxfId="3500" priority="3700" operator="between">
      <formula>0.95</formula>
      <formula>1</formula>
    </cfRule>
    <cfRule type="cellIs" dxfId="3499" priority="3701" stopIfTrue="1" operator="between">
      <formula>0</formula>
      <formula>0.5</formula>
    </cfRule>
  </conditionalFormatting>
  <conditionalFormatting sqref="V112">
    <cfRule type="cellIs" dxfId="3498" priority="3692" operator="between">
      <formula>0.76</formula>
      <formula>0.95</formula>
    </cfRule>
    <cfRule type="cellIs" dxfId="3497" priority="3693" operator="between">
      <formula>0.51</formula>
      <formula>0.75</formula>
    </cfRule>
    <cfRule type="cellIs" dxfId="3496" priority="3694" operator="greaterThan">
      <formula>1</formula>
    </cfRule>
    <cfRule type="cellIs" dxfId="3495" priority="3695" operator="between">
      <formula>0.95</formula>
      <formula>1</formula>
    </cfRule>
    <cfRule type="cellIs" dxfId="3494" priority="3696" stopIfTrue="1" operator="between">
      <formula>0</formula>
      <formula>0.5</formula>
    </cfRule>
  </conditionalFormatting>
  <conditionalFormatting sqref="V115">
    <cfRule type="cellIs" dxfId="3493" priority="3687" operator="between">
      <formula>0.76</formula>
      <formula>0.95</formula>
    </cfRule>
    <cfRule type="cellIs" dxfId="3492" priority="3688" operator="between">
      <formula>0.51</formula>
      <formula>0.75</formula>
    </cfRule>
    <cfRule type="cellIs" dxfId="3491" priority="3689" operator="greaterThan">
      <formula>1</formula>
    </cfRule>
    <cfRule type="cellIs" dxfId="3490" priority="3690" operator="between">
      <formula>0.95</formula>
      <formula>1</formula>
    </cfRule>
    <cfRule type="cellIs" dxfId="3489" priority="3691" stopIfTrue="1" operator="between">
      <formula>0</formula>
      <formula>0.5</formula>
    </cfRule>
  </conditionalFormatting>
  <conditionalFormatting sqref="V116">
    <cfRule type="cellIs" dxfId="3488" priority="3682" operator="between">
      <formula>0.76</formula>
      <formula>0.95</formula>
    </cfRule>
    <cfRule type="cellIs" dxfId="3487" priority="3683" operator="between">
      <formula>0.51</formula>
      <formula>0.75</formula>
    </cfRule>
    <cfRule type="cellIs" dxfId="3486" priority="3684" operator="greaterThan">
      <formula>1</formula>
    </cfRule>
    <cfRule type="cellIs" dxfId="3485" priority="3685" operator="between">
      <formula>0.95</formula>
      <formula>1</formula>
    </cfRule>
    <cfRule type="cellIs" dxfId="3484" priority="3686" stopIfTrue="1" operator="between">
      <formula>0</formula>
      <formula>0.5</formula>
    </cfRule>
  </conditionalFormatting>
  <conditionalFormatting sqref="V117">
    <cfRule type="cellIs" dxfId="3483" priority="3677" operator="between">
      <formula>0.76</formula>
      <formula>0.95</formula>
    </cfRule>
    <cfRule type="cellIs" dxfId="3482" priority="3678" operator="between">
      <formula>0.51</formula>
      <formula>0.75</formula>
    </cfRule>
    <cfRule type="cellIs" dxfId="3481" priority="3679" operator="greaterThan">
      <formula>1</formula>
    </cfRule>
    <cfRule type="cellIs" dxfId="3480" priority="3680" operator="between">
      <formula>0.95</formula>
      <formula>1</formula>
    </cfRule>
    <cfRule type="cellIs" dxfId="3479" priority="3681" stopIfTrue="1" operator="between">
      <formula>0</formula>
      <formula>0.5</formula>
    </cfRule>
  </conditionalFormatting>
  <conditionalFormatting sqref="V118">
    <cfRule type="cellIs" dxfId="3478" priority="3672" operator="between">
      <formula>0.76</formula>
      <formula>0.95</formula>
    </cfRule>
    <cfRule type="cellIs" dxfId="3477" priority="3673" operator="between">
      <formula>0.51</formula>
      <formula>0.75</formula>
    </cfRule>
    <cfRule type="cellIs" dxfId="3476" priority="3674" operator="greaterThan">
      <formula>1</formula>
    </cfRule>
    <cfRule type="cellIs" dxfId="3475" priority="3675" operator="between">
      <formula>0.95</formula>
      <formula>1</formula>
    </cfRule>
    <cfRule type="cellIs" dxfId="3474" priority="3676" stopIfTrue="1" operator="between">
      <formula>0</formula>
      <formula>0.5</formula>
    </cfRule>
  </conditionalFormatting>
  <conditionalFormatting sqref="V119">
    <cfRule type="cellIs" dxfId="3473" priority="3667" operator="between">
      <formula>0.76</formula>
      <formula>0.95</formula>
    </cfRule>
    <cfRule type="cellIs" dxfId="3472" priority="3668" operator="between">
      <formula>0.51</formula>
      <formula>0.75</formula>
    </cfRule>
    <cfRule type="cellIs" dxfId="3471" priority="3669" operator="greaterThan">
      <formula>1</formula>
    </cfRule>
    <cfRule type="cellIs" dxfId="3470" priority="3670" operator="between">
      <formula>0.95</formula>
      <formula>1</formula>
    </cfRule>
    <cfRule type="cellIs" dxfId="3469" priority="3671" stopIfTrue="1" operator="between">
      <formula>0</formula>
      <formula>0.5</formula>
    </cfRule>
  </conditionalFormatting>
  <conditionalFormatting sqref="V120">
    <cfRule type="cellIs" dxfId="3468" priority="3662" operator="between">
      <formula>0.76</formula>
      <formula>0.95</formula>
    </cfRule>
    <cfRule type="cellIs" dxfId="3467" priority="3663" operator="between">
      <formula>0.51</formula>
      <formula>0.75</formula>
    </cfRule>
    <cfRule type="cellIs" dxfId="3466" priority="3664" operator="greaterThan">
      <formula>1</formula>
    </cfRule>
    <cfRule type="cellIs" dxfId="3465" priority="3665" operator="between">
      <formula>0.95</formula>
      <formula>1</formula>
    </cfRule>
    <cfRule type="cellIs" dxfId="3464" priority="3666" stopIfTrue="1" operator="between">
      <formula>0</formula>
      <formula>0.5</formula>
    </cfRule>
  </conditionalFormatting>
  <conditionalFormatting sqref="V121">
    <cfRule type="cellIs" dxfId="3463" priority="3657" operator="between">
      <formula>0.76</formula>
      <formula>0.95</formula>
    </cfRule>
    <cfRule type="cellIs" dxfId="3462" priority="3658" operator="between">
      <formula>0.51</formula>
      <formula>0.75</formula>
    </cfRule>
    <cfRule type="cellIs" dxfId="3461" priority="3659" operator="greaterThan">
      <formula>1</formula>
    </cfRule>
    <cfRule type="cellIs" dxfId="3460" priority="3660" operator="between">
      <formula>0.95</formula>
      <formula>1</formula>
    </cfRule>
    <cfRule type="cellIs" dxfId="3459" priority="3661" stopIfTrue="1" operator="between">
      <formula>0</formula>
      <formula>0.5</formula>
    </cfRule>
  </conditionalFormatting>
  <conditionalFormatting sqref="V122">
    <cfRule type="cellIs" dxfId="3458" priority="3652" operator="between">
      <formula>0.76</formula>
      <formula>0.95</formula>
    </cfRule>
    <cfRule type="cellIs" dxfId="3457" priority="3653" operator="between">
      <formula>0.51</formula>
      <formula>0.75</formula>
    </cfRule>
    <cfRule type="cellIs" dxfId="3456" priority="3654" operator="greaterThan">
      <formula>1</formula>
    </cfRule>
    <cfRule type="cellIs" dxfId="3455" priority="3655" operator="between">
      <formula>0.95</formula>
      <formula>1</formula>
    </cfRule>
    <cfRule type="cellIs" dxfId="3454" priority="3656" stopIfTrue="1" operator="between">
      <formula>0</formula>
      <formula>0.5</formula>
    </cfRule>
  </conditionalFormatting>
  <conditionalFormatting sqref="V123">
    <cfRule type="cellIs" dxfId="3453" priority="3647" operator="between">
      <formula>0.76</formula>
      <formula>0.95</formula>
    </cfRule>
    <cfRule type="cellIs" dxfId="3452" priority="3648" operator="between">
      <formula>0.51</formula>
      <formula>0.75</formula>
    </cfRule>
    <cfRule type="cellIs" dxfId="3451" priority="3649" operator="greaterThan">
      <formula>1</formula>
    </cfRule>
    <cfRule type="cellIs" dxfId="3450" priority="3650" operator="between">
      <formula>0.95</formula>
      <formula>1</formula>
    </cfRule>
    <cfRule type="cellIs" dxfId="3449" priority="3651" stopIfTrue="1" operator="between">
      <formula>0</formula>
      <formula>0.5</formula>
    </cfRule>
  </conditionalFormatting>
  <conditionalFormatting sqref="V124">
    <cfRule type="cellIs" dxfId="3448" priority="3642" operator="between">
      <formula>0.76</formula>
      <formula>0.95</formula>
    </cfRule>
    <cfRule type="cellIs" dxfId="3447" priority="3643" operator="between">
      <formula>0.51</formula>
      <formula>0.75</formula>
    </cfRule>
    <cfRule type="cellIs" dxfId="3446" priority="3644" operator="greaterThan">
      <formula>1</formula>
    </cfRule>
    <cfRule type="cellIs" dxfId="3445" priority="3645" operator="between">
      <formula>0.95</formula>
      <formula>1</formula>
    </cfRule>
    <cfRule type="cellIs" dxfId="3444" priority="3646" stopIfTrue="1" operator="between">
      <formula>0</formula>
      <formula>0.5</formula>
    </cfRule>
  </conditionalFormatting>
  <conditionalFormatting sqref="V125">
    <cfRule type="cellIs" dxfId="3443" priority="3637" operator="between">
      <formula>0.76</formula>
      <formula>0.95</formula>
    </cfRule>
    <cfRule type="cellIs" dxfId="3442" priority="3638" operator="between">
      <formula>0.51</formula>
      <formula>0.75</formula>
    </cfRule>
    <cfRule type="cellIs" dxfId="3441" priority="3639" operator="greaterThan">
      <formula>1</formula>
    </cfRule>
    <cfRule type="cellIs" dxfId="3440" priority="3640" operator="between">
      <formula>0.95</formula>
      <formula>1</formula>
    </cfRule>
    <cfRule type="cellIs" dxfId="3439" priority="3641" stopIfTrue="1" operator="between">
      <formula>0</formula>
      <formula>0.5</formula>
    </cfRule>
  </conditionalFormatting>
  <conditionalFormatting sqref="V126">
    <cfRule type="cellIs" dxfId="3438" priority="3632" operator="between">
      <formula>0.76</formula>
      <formula>0.95</formula>
    </cfRule>
    <cfRule type="cellIs" dxfId="3437" priority="3633" operator="between">
      <formula>0.51</formula>
      <formula>0.75</formula>
    </cfRule>
    <cfRule type="cellIs" dxfId="3436" priority="3634" operator="greaterThan">
      <formula>1</formula>
    </cfRule>
    <cfRule type="cellIs" dxfId="3435" priority="3635" operator="between">
      <formula>0.95</formula>
      <formula>1</formula>
    </cfRule>
    <cfRule type="cellIs" dxfId="3434" priority="3636" stopIfTrue="1" operator="between">
      <formula>0</formula>
      <formula>0.5</formula>
    </cfRule>
  </conditionalFormatting>
  <conditionalFormatting sqref="V127">
    <cfRule type="cellIs" dxfId="3433" priority="3627" operator="between">
      <formula>0.76</formula>
      <formula>0.95</formula>
    </cfRule>
    <cfRule type="cellIs" dxfId="3432" priority="3628" operator="between">
      <formula>0.51</formula>
      <formula>0.75</formula>
    </cfRule>
    <cfRule type="cellIs" dxfId="3431" priority="3629" operator="greaterThan">
      <formula>1</formula>
    </cfRule>
    <cfRule type="cellIs" dxfId="3430" priority="3630" operator="between">
      <formula>0.95</formula>
      <formula>1</formula>
    </cfRule>
    <cfRule type="cellIs" dxfId="3429" priority="3631" stopIfTrue="1" operator="between">
      <formula>0</formula>
      <formula>0.5</formula>
    </cfRule>
  </conditionalFormatting>
  <conditionalFormatting sqref="V129">
    <cfRule type="cellIs" dxfId="3428" priority="3622" operator="between">
      <formula>0.76</formula>
      <formula>0.95</formula>
    </cfRule>
    <cfRule type="cellIs" dxfId="3427" priority="3623" operator="between">
      <formula>0.51</formula>
      <formula>0.75</formula>
    </cfRule>
    <cfRule type="cellIs" dxfId="3426" priority="3624" operator="greaterThan">
      <formula>1</formula>
    </cfRule>
    <cfRule type="cellIs" dxfId="3425" priority="3625" operator="between">
      <formula>0.95</formula>
      <formula>1</formula>
    </cfRule>
    <cfRule type="cellIs" dxfId="3424" priority="3626" stopIfTrue="1" operator="between">
      <formula>0</formula>
      <formula>0.5</formula>
    </cfRule>
  </conditionalFormatting>
  <conditionalFormatting sqref="V130">
    <cfRule type="cellIs" dxfId="3423" priority="3617" operator="between">
      <formula>0.76</formula>
      <formula>0.95</formula>
    </cfRule>
    <cfRule type="cellIs" dxfId="3422" priority="3618" operator="between">
      <formula>0.51</formula>
      <formula>0.75</formula>
    </cfRule>
    <cfRule type="cellIs" dxfId="3421" priority="3619" operator="greaterThan">
      <formula>1</formula>
    </cfRule>
    <cfRule type="cellIs" dxfId="3420" priority="3620" operator="between">
      <formula>0.95</formula>
      <formula>1</formula>
    </cfRule>
    <cfRule type="cellIs" dxfId="3419" priority="3621" stopIfTrue="1" operator="between">
      <formula>0</formula>
      <formula>0.5</formula>
    </cfRule>
  </conditionalFormatting>
  <conditionalFormatting sqref="V131">
    <cfRule type="cellIs" dxfId="3418" priority="3612" operator="between">
      <formula>0.76</formula>
      <formula>0.95</formula>
    </cfRule>
    <cfRule type="cellIs" dxfId="3417" priority="3613" operator="between">
      <formula>0.51</formula>
      <formula>0.75</formula>
    </cfRule>
    <cfRule type="cellIs" dxfId="3416" priority="3614" operator="greaterThan">
      <formula>1</formula>
    </cfRule>
    <cfRule type="cellIs" dxfId="3415" priority="3615" operator="between">
      <formula>0.95</formula>
      <formula>1</formula>
    </cfRule>
    <cfRule type="cellIs" dxfId="3414" priority="3616" stopIfTrue="1" operator="between">
      <formula>0</formula>
      <formula>0.5</formula>
    </cfRule>
  </conditionalFormatting>
  <conditionalFormatting sqref="V132">
    <cfRule type="cellIs" dxfId="3413" priority="3607" operator="between">
      <formula>0.76</formula>
      <formula>0.95</formula>
    </cfRule>
    <cfRule type="cellIs" dxfId="3412" priority="3608" operator="between">
      <formula>0.51</formula>
      <formula>0.75</formula>
    </cfRule>
    <cfRule type="cellIs" dxfId="3411" priority="3609" operator="greaterThan">
      <formula>1</formula>
    </cfRule>
    <cfRule type="cellIs" dxfId="3410" priority="3610" operator="between">
      <formula>0.95</formula>
      <formula>1</formula>
    </cfRule>
    <cfRule type="cellIs" dxfId="3409" priority="3611" stopIfTrue="1" operator="between">
      <formula>0</formula>
      <formula>0.5</formula>
    </cfRule>
  </conditionalFormatting>
  <conditionalFormatting sqref="V133">
    <cfRule type="cellIs" dxfId="3408" priority="3602" operator="between">
      <formula>0.76</formula>
      <formula>0.95</formula>
    </cfRule>
    <cfRule type="cellIs" dxfId="3407" priority="3603" operator="between">
      <formula>0.51</formula>
      <formula>0.75</formula>
    </cfRule>
    <cfRule type="cellIs" dxfId="3406" priority="3604" operator="greaterThan">
      <formula>1</formula>
    </cfRule>
    <cfRule type="cellIs" dxfId="3405" priority="3605" operator="between">
      <formula>0.95</formula>
      <formula>1</formula>
    </cfRule>
    <cfRule type="cellIs" dxfId="3404" priority="3606" stopIfTrue="1" operator="between">
      <formula>0</formula>
      <formula>0.5</formula>
    </cfRule>
  </conditionalFormatting>
  <conditionalFormatting sqref="V134">
    <cfRule type="cellIs" dxfId="3403" priority="3597" operator="between">
      <formula>0.76</formula>
      <formula>0.95</formula>
    </cfRule>
    <cfRule type="cellIs" dxfId="3402" priority="3598" operator="between">
      <formula>0.51</formula>
      <formula>0.75</formula>
    </cfRule>
    <cfRule type="cellIs" dxfId="3401" priority="3599" operator="greaterThan">
      <formula>1</formula>
    </cfRule>
    <cfRule type="cellIs" dxfId="3400" priority="3600" operator="between">
      <formula>0.95</formula>
      <formula>1</formula>
    </cfRule>
    <cfRule type="cellIs" dxfId="3399" priority="3601" stopIfTrue="1" operator="between">
      <formula>0</formula>
      <formula>0.5</formula>
    </cfRule>
  </conditionalFormatting>
  <conditionalFormatting sqref="V136">
    <cfRule type="cellIs" dxfId="3398" priority="3592" operator="between">
      <formula>0.76</formula>
      <formula>0.95</formula>
    </cfRule>
    <cfRule type="cellIs" dxfId="3397" priority="3593" operator="between">
      <formula>0.51</formula>
      <formula>0.75</formula>
    </cfRule>
    <cfRule type="cellIs" dxfId="3396" priority="3594" operator="greaterThan">
      <formula>1</formula>
    </cfRule>
    <cfRule type="cellIs" dxfId="3395" priority="3595" operator="between">
      <formula>0.95</formula>
      <formula>1</formula>
    </cfRule>
    <cfRule type="cellIs" dxfId="3394" priority="3596" stopIfTrue="1" operator="between">
      <formula>0</formula>
      <formula>0.5</formula>
    </cfRule>
  </conditionalFormatting>
  <conditionalFormatting sqref="V137">
    <cfRule type="cellIs" dxfId="3393" priority="3587" operator="between">
      <formula>0.76</formula>
      <formula>0.95</formula>
    </cfRule>
    <cfRule type="cellIs" dxfId="3392" priority="3588" operator="between">
      <formula>0.51</formula>
      <formula>0.75</formula>
    </cfRule>
    <cfRule type="cellIs" dxfId="3391" priority="3589" operator="greaterThan">
      <formula>1</formula>
    </cfRule>
    <cfRule type="cellIs" dxfId="3390" priority="3590" operator="between">
      <formula>0.95</formula>
      <formula>1</formula>
    </cfRule>
    <cfRule type="cellIs" dxfId="3389" priority="3591" stopIfTrue="1" operator="between">
      <formula>0</formula>
      <formula>0.5</formula>
    </cfRule>
  </conditionalFormatting>
  <conditionalFormatting sqref="V138">
    <cfRule type="cellIs" dxfId="3388" priority="3582" operator="between">
      <formula>0.76</formula>
      <formula>0.95</formula>
    </cfRule>
    <cfRule type="cellIs" dxfId="3387" priority="3583" operator="between">
      <formula>0.51</formula>
      <formula>0.75</formula>
    </cfRule>
    <cfRule type="cellIs" dxfId="3386" priority="3584" operator="greaterThan">
      <formula>1</formula>
    </cfRule>
    <cfRule type="cellIs" dxfId="3385" priority="3585" operator="between">
      <formula>0.95</formula>
      <formula>1</formula>
    </cfRule>
    <cfRule type="cellIs" dxfId="3384" priority="3586" stopIfTrue="1" operator="between">
      <formula>0</formula>
      <formula>0.5</formula>
    </cfRule>
  </conditionalFormatting>
  <conditionalFormatting sqref="V139">
    <cfRule type="cellIs" dxfId="3383" priority="3577" operator="between">
      <formula>0.76</formula>
      <formula>0.95</formula>
    </cfRule>
    <cfRule type="cellIs" dxfId="3382" priority="3578" operator="between">
      <formula>0.51</formula>
      <formula>0.75</formula>
    </cfRule>
    <cfRule type="cellIs" dxfId="3381" priority="3579" operator="greaterThan">
      <formula>1</formula>
    </cfRule>
    <cfRule type="cellIs" dxfId="3380" priority="3580" operator="between">
      <formula>0.95</formula>
      <formula>1</formula>
    </cfRule>
    <cfRule type="cellIs" dxfId="3379" priority="3581" stopIfTrue="1" operator="between">
      <formula>0</formula>
      <formula>0.5</formula>
    </cfRule>
  </conditionalFormatting>
  <conditionalFormatting sqref="V140">
    <cfRule type="cellIs" dxfId="3378" priority="3572" operator="between">
      <formula>0.76</formula>
      <formula>0.95</formula>
    </cfRule>
    <cfRule type="cellIs" dxfId="3377" priority="3573" operator="between">
      <formula>0.51</formula>
      <formula>0.75</formula>
    </cfRule>
    <cfRule type="cellIs" dxfId="3376" priority="3574" operator="greaterThan">
      <formula>1</formula>
    </cfRule>
    <cfRule type="cellIs" dxfId="3375" priority="3575" operator="between">
      <formula>0.95</formula>
      <formula>1</formula>
    </cfRule>
    <cfRule type="cellIs" dxfId="3374" priority="3576" stopIfTrue="1" operator="between">
      <formula>0</formula>
      <formula>0.5</formula>
    </cfRule>
  </conditionalFormatting>
  <conditionalFormatting sqref="V141">
    <cfRule type="cellIs" dxfId="3373" priority="3567" operator="between">
      <formula>0.76</formula>
      <formula>0.95</formula>
    </cfRule>
    <cfRule type="cellIs" dxfId="3372" priority="3568" operator="between">
      <formula>0.51</formula>
      <formula>0.75</formula>
    </cfRule>
    <cfRule type="cellIs" dxfId="3371" priority="3569" operator="greaterThan">
      <formula>1</formula>
    </cfRule>
    <cfRule type="cellIs" dxfId="3370" priority="3570" operator="between">
      <formula>0.95</formula>
      <formula>1</formula>
    </cfRule>
    <cfRule type="cellIs" dxfId="3369" priority="3571" stopIfTrue="1" operator="between">
      <formula>0</formula>
      <formula>0.5</formula>
    </cfRule>
  </conditionalFormatting>
  <conditionalFormatting sqref="V142">
    <cfRule type="cellIs" dxfId="3368" priority="3562" operator="between">
      <formula>0.76</formula>
      <formula>0.95</formula>
    </cfRule>
    <cfRule type="cellIs" dxfId="3367" priority="3563" operator="between">
      <formula>0.51</formula>
      <formula>0.75</formula>
    </cfRule>
    <cfRule type="cellIs" dxfId="3366" priority="3564" operator="greaterThan">
      <formula>1</formula>
    </cfRule>
    <cfRule type="cellIs" dxfId="3365" priority="3565" operator="between">
      <formula>0.95</formula>
      <formula>1</formula>
    </cfRule>
    <cfRule type="cellIs" dxfId="3364" priority="3566" stopIfTrue="1" operator="between">
      <formula>0</formula>
      <formula>0.5</formula>
    </cfRule>
  </conditionalFormatting>
  <conditionalFormatting sqref="V143">
    <cfRule type="cellIs" dxfId="3363" priority="3557" operator="between">
      <formula>0.76</formula>
      <formula>0.95</formula>
    </cfRule>
    <cfRule type="cellIs" dxfId="3362" priority="3558" operator="between">
      <formula>0.51</formula>
      <formula>0.75</formula>
    </cfRule>
    <cfRule type="cellIs" dxfId="3361" priority="3559" operator="greaterThan">
      <formula>1</formula>
    </cfRule>
    <cfRule type="cellIs" dxfId="3360" priority="3560" operator="between">
      <formula>0.95</formula>
      <formula>1</formula>
    </cfRule>
    <cfRule type="cellIs" dxfId="3359" priority="3561" stopIfTrue="1" operator="between">
      <formula>0</formula>
      <formula>0.5</formula>
    </cfRule>
  </conditionalFormatting>
  <conditionalFormatting sqref="V144">
    <cfRule type="cellIs" dxfId="3358" priority="3552" operator="between">
      <formula>0.76</formula>
      <formula>0.95</formula>
    </cfRule>
    <cfRule type="cellIs" dxfId="3357" priority="3553" operator="between">
      <formula>0.51</formula>
      <formula>0.75</formula>
    </cfRule>
    <cfRule type="cellIs" dxfId="3356" priority="3554" operator="greaterThan">
      <formula>1</formula>
    </cfRule>
    <cfRule type="cellIs" dxfId="3355" priority="3555" operator="between">
      <formula>0.95</formula>
      <formula>1</formula>
    </cfRule>
    <cfRule type="cellIs" dxfId="3354" priority="3556" stopIfTrue="1" operator="between">
      <formula>0</formula>
      <formula>0.5</formula>
    </cfRule>
  </conditionalFormatting>
  <conditionalFormatting sqref="V145">
    <cfRule type="cellIs" dxfId="3353" priority="3547" operator="between">
      <formula>0.76</formula>
      <formula>0.95</formula>
    </cfRule>
    <cfRule type="cellIs" dxfId="3352" priority="3548" operator="between">
      <formula>0.51</formula>
      <formula>0.75</formula>
    </cfRule>
    <cfRule type="cellIs" dxfId="3351" priority="3549" operator="greaterThan">
      <formula>1</formula>
    </cfRule>
    <cfRule type="cellIs" dxfId="3350" priority="3550" operator="between">
      <formula>0.95</formula>
      <formula>1</formula>
    </cfRule>
    <cfRule type="cellIs" dxfId="3349" priority="3551" stopIfTrue="1" operator="between">
      <formula>0</formula>
      <formula>0.5</formula>
    </cfRule>
  </conditionalFormatting>
  <conditionalFormatting sqref="V146">
    <cfRule type="cellIs" dxfId="3348" priority="3542" operator="between">
      <formula>0.76</formula>
      <formula>0.95</formula>
    </cfRule>
    <cfRule type="cellIs" dxfId="3347" priority="3543" operator="between">
      <formula>0.51</formula>
      <formula>0.75</formula>
    </cfRule>
    <cfRule type="cellIs" dxfId="3346" priority="3544" operator="greaterThan">
      <formula>1</formula>
    </cfRule>
    <cfRule type="cellIs" dxfId="3345" priority="3545" operator="between">
      <formula>0.95</formula>
      <formula>1</formula>
    </cfRule>
    <cfRule type="cellIs" dxfId="3344" priority="3546" stopIfTrue="1" operator="between">
      <formula>0</formula>
      <formula>0.5</formula>
    </cfRule>
  </conditionalFormatting>
  <conditionalFormatting sqref="V147">
    <cfRule type="cellIs" dxfId="3343" priority="3537" operator="between">
      <formula>0.76</formula>
      <formula>0.95</formula>
    </cfRule>
    <cfRule type="cellIs" dxfId="3342" priority="3538" operator="between">
      <formula>0.51</formula>
      <formula>0.75</formula>
    </cfRule>
    <cfRule type="cellIs" dxfId="3341" priority="3539" operator="greaterThan">
      <formula>1</formula>
    </cfRule>
    <cfRule type="cellIs" dxfId="3340" priority="3540" operator="between">
      <formula>0.95</formula>
      <formula>1</formula>
    </cfRule>
    <cfRule type="cellIs" dxfId="3339" priority="3541" stopIfTrue="1" operator="between">
      <formula>0</formula>
      <formula>0.5</formula>
    </cfRule>
  </conditionalFormatting>
  <conditionalFormatting sqref="V148">
    <cfRule type="cellIs" dxfId="3338" priority="3532" operator="between">
      <formula>0.76</formula>
      <formula>0.95</formula>
    </cfRule>
    <cfRule type="cellIs" dxfId="3337" priority="3533" operator="between">
      <formula>0.51</formula>
      <formula>0.75</formula>
    </cfRule>
    <cfRule type="cellIs" dxfId="3336" priority="3534" operator="greaterThan">
      <formula>1</formula>
    </cfRule>
    <cfRule type="cellIs" dxfId="3335" priority="3535" operator="between">
      <formula>0.95</formula>
      <formula>1</formula>
    </cfRule>
    <cfRule type="cellIs" dxfId="3334" priority="3536" stopIfTrue="1" operator="between">
      <formula>0</formula>
      <formula>0.5</formula>
    </cfRule>
  </conditionalFormatting>
  <conditionalFormatting sqref="V149">
    <cfRule type="cellIs" dxfId="3333" priority="3527" operator="between">
      <formula>0.76</formula>
      <formula>0.95</formula>
    </cfRule>
    <cfRule type="cellIs" dxfId="3332" priority="3528" operator="between">
      <formula>0.51</formula>
      <formula>0.75</formula>
    </cfRule>
    <cfRule type="cellIs" dxfId="3331" priority="3529" operator="greaterThan">
      <formula>1</formula>
    </cfRule>
    <cfRule type="cellIs" dxfId="3330" priority="3530" operator="between">
      <formula>0.95</formula>
      <formula>1</formula>
    </cfRule>
    <cfRule type="cellIs" dxfId="3329" priority="3531" stopIfTrue="1" operator="between">
      <formula>0</formula>
      <formula>0.5</formula>
    </cfRule>
  </conditionalFormatting>
  <conditionalFormatting sqref="V150">
    <cfRule type="cellIs" dxfId="3328" priority="3522" operator="between">
      <formula>0.76</formula>
      <formula>0.95</formula>
    </cfRule>
    <cfRule type="cellIs" dxfId="3327" priority="3523" operator="between">
      <formula>0.51</formula>
      <formula>0.75</formula>
    </cfRule>
    <cfRule type="cellIs" dxfId="3326" priority="3524" operator="greaterThan">
      <formula>1</formula>
    </cfRule>
    <cfRule type="cellIs" dxfId="3325" priority="3525" operator="between">
      <formula>0.95</formula>
      <formula>1</formula>
    </cfRule>
    <cfRule type="cellIs" dxfId="3324" priority="3526" stopIfTrue="1" operator="between">
      <formula>0</formula>
      <formula>0.5</formula>
    </cfRule>
  </conditionalFormatting>
  <conditionalFormatting sqref="V151">
    <cfRule type="cellIs" dxfId="3323" priority="3517" operator="between">
      <formula>0.76</formula>
      <formula>0.95</formula>
    </cfRule>
    <cfRule type="cellIs" dxfId="3322" priority="3518" operator="between">
      <formula>0.51</formula>
      <formula>0.75</formula>
    </cfRule>
    <cfRule type="cellIs" dxfId="3321" priority="3519" operator="greaterThan">
      <formula>1</formula>
    </cfRule>
    <cfRule type="cellIs" dxfId="3320" priority="3520" operator="between">
      <formula>0.95</formula>
      <formula>1</formula>
    </cfRule>
    <cfRule type="cellIs" dxfId="3319" priority="3521" stopIfTrue="1" operator="between">
      <formula>0</formula>
      <formula>0.5</formula>
    </cfRule>
  </conditionalFormatting>
  <conditionalFormatting sqref="V152">
    <cfRule type="cellIs" dxfId="3318" priority="3512" operator="between">
      <formula>0.76</formula>
      <formula>0.95</formula>
    </cfRule>
    <cfRule type="cellIs" dxfId="3317" priority="3513" operator="between">
      <formula>0.51</formula>
      <formula>0.75</formula>
    </cfRule>
    <cfRule type="cellIs" dxfId="3316" priority="3514" operator="greaterThan">
      <formula>1</formula>
    </cfRule>
    <cfRule type="cellIs" dxfId="3315" priority="3515" operator="between">
      <formula>0.95</formula>
      <formula>1</formula>
    </cfRule>
    <cfRule type="cellIs" dxfId="3314" priority="3516" stopIfTrue="1" operator="between">
      <formula>0</formula>
      <formula>0.5</formula>
    </cfRule>
  </conditionalFormatting>
  <conditionalFormatting sqref="V153">
    <cfRule type="cellIs" dxfId="3313" priority="3507" operator="between">
      <formula>0.76</formula>
      <formula>0.95</formula>
    </cfRule>
    <cfRule type="cellIs" dxfId="3312" priority="3508" operator="between">
      <formula>0.51</formula>
      <formula>0.75</formula>
    </cfRule>
    <cfRule type="cellIs" dxfId="3311" priority="3509" operator="greaterThan">
      <formula>1</formula>
    </cfRule>
    <cfRule type="cellIs" dxfId="3310" priority="3510" operator="between">
      <formula>0.95</formula>
      <formula>1</formula>
    </cfRule>
    <cfRule type="cellIs" dxfId="3309" priority="3511" stopIfTrue="1" operator="between">
      <formula>0</formula>
      <formula>0.5</formula>
    </cfRule>
  </conditionalFormatting>
  <conditionalFormatting sqref="V154">
    <cfRule type="cellIs" dxfId="3308" priority="3502" operator="between">
      <formula>0.76</formula>
      <formula>0.95</formula>
    </cfRule>
    <cfRule type="cellIs" dxfId="3307" priority="3503" operator="between">
      <formula>0.51</formula>
      <formula>0.75</formula>
    </cfRule>
    <cfRule type="cellIs" dxfId="3306" priority="3504" operator="greaterThan">
      <formula>1</formula>
    </cfRule>
    <cfRule type="cellIs" dxfId="3305" priority="3505" operator="between">
      <formula>0.95</formula>
      <formula>1</formula>
    </cfRule>
    <cfRule type="cellIs" dxfId="3304" priority="3506" stopIfTrue="1" operator="between">
      <formula>0</formula>
      <formula>0.5</formula>
    </cfRule>
  </conditionalFormatting>
  <conditionalFormatting sqref="V155">
    <cfRule type="cellIs" dxfId="3303" priority="3497" operator="between">
      <formula>0.76</formula>
      <formula>0.95</formula>
    </cfRule>
    <cfRule type="cellIs" dxfId="3302" priority="3498" operator="between">
      <formula>0.51</formula>
      <formula>0.75</formula>
    </cfRule>
    <cfRule type="cellIs" dxfId="3301" priority="3499" operator="greaterThan">
      <formula>1</formula>
    </cfRule>
    <cfRule type="cellIs" dxfId="3300" priority="3500" operator="between">
      <formula>0.95</formula>
      <formula>1</formula>
    </cfRule>
    <cfRule type="cellIs" dxfId="3299" priority="3501" stopIfTrue="1" operator="between">
      <formula>0</formula>
      <formula>0.5</formula>
    </cfRule>
  </conditionalFormatting>
  <conditionalFormatting sqref="V156">
    <cfRule type="cellIs" dxfId="3298" priority="3492" operator="between">
      <formula>0.76</formula>
      <formula>0.95</formula>
    </cfRule>
    <cfRule type="cellIs" dxfId="3297" priority="3493" operator="between">
      <formula>0.51</formula>
      <formula>0.75</formula>
    </cfRule>
    <cfRule type="cellIs" dxfId="3296" priority="3494" operator="greaterThan">
      <formula>1</formula>
    </cfRule>
    <cfRule type="cellIs" dxfId="3295" priority="3495" operator="between">
      <formula>0.95</formula>
      <formula>1</formula>
    </cfRule>
    <cfRule type="cellIs" dxfId="3294" priority="3496" stopIfTrue="1" operator="between">
      <formula>0</formula>
      <formula>0.5</formula>
    </cfRule>
  </conditionalFormatting>
  <conditionalFormatting sqref="V157">
    <cfRule type="cellIs" dxfId="3293" priority="3487" operator="between">
      <formula>0.76</formula>
      <formula>0.95</formula>
    </cfRule>
    <cfRule type="cellIs" dxfId="3292" priority="3488" operator="between">
      <formula>0.51</formula>
      <formula>0.75</formula>
    </cfRule>
    <cfRule type="cellIs" dxfId="3291" priority="3489" operator="greaterThan">
      <formula>1</formula>
    </cfRule>
    <cfRule type="cellIs" dxfId="3290" priority="3490" operator="between">
      <formula>0.95</formula>
      <formula>1</formula>
    </cfRule>
    <cfRule type="cellIs" dxfId="3289" priority="3491" stopIfTrue="1" operator="between">
      <formula>0</formula>
      <formula>0.5</formula>
    </cfRule>
  </conditionalFormatting>
  <conditionalFormatting sqref="V158">
    <cfRule type="cellIs" dxfId="3288" priority="3482" operator="between">
      <formula>0.76</formula>
      <formula>0.95</formula>
    </cfRule>
    <cfRule type="cellIs" dxfId="3287" priority="3483" operator="between">
      <formula>0.51</formula>
      <formula>0.75</formula>
    </cfRule>
    <cfRule type="cellIs" dxfId="3286" priority="3484" operator="greaterThan">
      <formula>1</formula>
    </cfRule>
    <cfRule type="cellIs" dxfId="3285" priority="3485" operator="between">
      <formula>0.95</formula>
      <formula>1</formula>
    </cfRule>
    <cfRule type="cellIs" dxfId="3284" priority="3486" stopIfTrue="1" operator="between">
      <formula>0</formula>
      <formula>0.5</formula>
    </cfRule>
  </conditionalFormatting>
  <conditionalFormatting sqref="V159">
    <cfRule type="cellIs" dxfId="3283" priority="3477" operator="between">
      <formula>0.76</formula>
      <formula>0.95</formula>
    </cfRule>
    <cfRule type="cellIs" dxfId="3282" priority="3478" operator="between">
      <formula>0.51</formula>
      <formula>0.75</formula>
    </cfRule>
    <cfRule type="cellIs" dxfId="3281" priority="3479" operator="greaterThan">
      <formula>1</formula>
    </cfRule>
    <cfRule type="cellIs" dxfId="3280" priority="3480" operator="between">
      <formula>0.95</formula>
      <formula>1</formula>
    </cfRule>
    <cfRule type="cellIs" dxfId="3279" priority="3481" stopIfTrue="1" operator="between">
      <formula>0</formula>
      <formula>0.5</formula>
    </cfRule>
  </conditionalFormatting>
  <conditionalFormatting sqref="V160">
    <cfRule type="cellIs" dxfId="3278" priority="3472" operator="between">
      <formula>0.76</formula>
      <formula>0.95</formula>
    </cfRule>
    <cfRule type="cellIs" dxfId="3277" priority="3473" operator="between">
      <formula>0.51</formula>
      <formula>0.75</formula>
    </cfRule>
    <cfRule type="cellIs" dxfId="3276" priority="3474" operator="greaterThan">
      <formula>1</formula>
    </cfRule>
    <cfRule type="cellIs" dxfId="3275" priority="3475" operator="between">
      <formula>0.95</formula>
      <formula>1</formula>
    </cfRule>
    <cfRule type="cellIs" dxfId="3274" priority="3476" stopIfTrue="1" operator="between">
      <formula>0</formula>
      <formula>0.5</formula>
    </cfRule>
  </conditionalFormatting>
  <conditionalFormatting sqref="V161">
    <cfRule type="cellIs" dxfId="3273" priority="3467" operator="between">
      <formula>0.76</formula>
      <formula>0.95</formula>
    </cfRule>
    <cfRule type="cellIs" dxfId="3272" priority="3468" operator="between">
      <formula>0.51</formula>
      <formula>0.75</formula>
    </cfRule>
    <cfRule type="cellIs" dxfId="3271" priority="3469" operator="greaterThan">
      <formula>1</formula>
    </cfRule>
    <cfRule type="cellIs" dxfId="3270" priority="3470" operator="between">
      <formula>0.95</formula>
      <formula>1</formula>
    </cfRule>
    <cfRule type="cellIs" dxfId="3269" priority="3471" stopIfTrue="1" operator="between">
      <formula>0</formula>
      <formula>0.5</formula>
    </cfRule>
  </conditionalFormatting>
  <conditionalFormatting sqref="V162">
    <cfRule type="cellIs" dxfId="3268" priority="3462" operator="between">
      <formula>0.76</formula>
      <formula>0.95</formula>
    </cfRule>
    <cfRule type="cellIs" dxfId="3267" priority="3463" operator="between">
      <formula>0.51</formula>
      <formula>0.75</formula>
    </cfRule>
    <cfRule type="cellIs" dxfId="3266" priority="3464" operator="greaterThan">
      <formula>1</formula>
    </cfRule>
    <cfRule type="cellIs" dxfId="3265" priority="3465" operator="between">
      <formula>0.95</formula>
      <formula>1</formula>
    </cfRule>
    <cfRule type="cellIs" dxfId="3264" priority="3466" stopIfTrue="1" operator="between">
      <formula>0</formula>
      <formula>0.5</formula>
    </cfRule>
  </conditionalFormatting>
  <conditionalFormatting sqref="V163">
    <cfRule type="cellIs" dxfId="3263" priority="3457" operator="between">
      <formula>0.76</formula>
      <formula>0.95</formula>
    </cfRule>
    <cfRule type="cellIs" dxfId="3262" priority="3458" operator="between">
      <formula>0.51</formula>
      <formula>0.75</formula>
    </cfRule>
    <cfRule type="cellIs" dxfId="3261" priority="3459" operator="greaterThan">
      <formula>1</formula>
    </cfRule>
    <cfRule type="cellIs" dxfId="3260" priority="3460" operator="between">
      <formula>0.95</formula>
      <formula>1</formula>
    </cfRule>
    <cfRule type="cellIs" dxfId="3259" priority="3461" stopIfTrue="1" operator="between">
      <formula>0</formula>
      <formula>0.5</formula>
    </cfRule>
  </conditionalFormatting>
  <conditionalFormatting sqref="V164">
    <cfRule type="cellIs" dxfId="3258" priority="3452" operator="between">
      <formula>0.76</formula>
      <formula>0.95</formula>
    </cfRule>
    <cfRule type="cellIs" dxfId="3257" priority="3453" operator="between">
      <formula>0.51</formula>
      <formula>0.75</formula>
    </cfRule>
    <cfRule type="cellIs" dxfId="3256" priority="3454" operator="greaterThan">
      <formula>1</formula>
    </cfRule>
    <cfRule type="cellIs" dxfId="3255" priority="3455" operator="between">
      <formula>0.95</formula>
      <formula>1</formula>
    </cfRule>
    <cfRule type="cellIs" dxfId="3254" priority="3456" stopIfTrue="1" operator="between">
      <formula>0</formula>
      <formula>0.5</formula>
    </cfRule>
  </conditionalFormatting>
  <conditionalFormatting sqref="V165">
    <cfRule type="cellIs" dxfId="3253" priority="3447" operator="between">
      <formula>0.76</formula>
      <formula>0.95</formula>
    </cfRule>
    <cfRule type="cellIs" dxfId="3252" priority="3448" operator="between">
      <formula>0.51</formula>
      <formula>0.75</formula>
    </cfRule>
    <cfRule type="cellIs" dxfId="3251" priority="3449" operator="greaterThan">
      <formula>1</formula>
    </cfRule>
    <cfRule type="cellIs" dxfId="3250" priority="3450" operator="between">
      <formula>0.95</formula>
      <formula>1</formula>
    </cfRule>
    <cfRule type="cellIs" dxfId="3249" priority="3451" stopIfTrue="1" operator="between">
      <formula>0</formula>
      <formula>0.5</formula>
    </cfRule>
  </conditionalFormatting>
  <conditionalFormatting sqref="V166">
    <cfRule type="cellIs" dxfId="3248" priority="3442" operator="between">
      <formula>0.76</formula>
      <formula>0.95</formula>
    </cfRule>
    <cfRule type="cellIs" dxfId="3247" priority="3443" operator="between">
      <formula>0.51</formula>
      <formula>0.75</formula>
    </cfRule>
    <cfRule type="cellIs" dxfId="3246" priority="3444" operator="greaterThan">
      <formula>1</formula>
    </cfRule>
    <cfRule type="cellIs" dxfId="3245" priority="3445" operator="between">
      <formula>0.95</formula>
      <formula>1</formula>
    </cfRule>
    <cfRule type="cellIs" dxfId="3244" priority="3446" stopIfTrue="1" operator="between">
      <formula>0</formula>
      <formula>0.5</formula>
    </cfRule>
  </conditionalFormatting>
  <conditionalFormatting sqref="V167">
    <cfRule type="cellIs" dxfId="3243" priority="3437" operator="between">
      <formula>0.76</formula>
      <formula>0.95</formula>
    </cfRule>
    <cfRule type="cellIs" dxfId="3242" priority="3438" operator="between">
      <formula>0.51</formula>
      <formula>0.75</formula>
    </cfRule>
    <cfRule type="cellIs" dxfId="3241" priority="3439" operator="greaterThan">
      <formula>1</formula>
    </cfRule>
    <cfRule type="cellIs" dxfId="3240" priority="3440" operator="between">
      <formula>0.95</formula>
      <formula>1</formula>
    </cfRule>
    <cfRule type="cellIs" dxfId="3239" priority="3441" stopIfTrue="1" operator="between">
      <formula>0</formula>
      <formula>0.5</formula>
    </cfRule>
  </conditionalFormatting>
  <conditionalFormatting sqref="V168">
    <cfRule type="cellIs" dxfId="3238" priority="3432" operator="between">
      <formula>0.76</formula>
      <formula>0.95</formula>
    </cfRule>
    <cfRule type="cellIs" dxfId="3237" priority="3433" operator="between">
      <formula>0.51</formula>
      <formula>0.75</formula>
    </cfRule>
    <cfRule type="cellIs" dxfId="3236" priority="3434" operator="greaterThan">
      <formula>1</formula>
    </cfRule>
    <cfRule type="cellIs" dxfId="3235" priority="3435" operator="between">
      <formula>0.95</formula>
      <formula>1</formula>
    </cfRule>
    <cfRule type="cellIs" dxfId="3234" priority="3436" stopIfTrue="1" operator="between">
      <formula>0</formula>
      <formula>0.5</formula>
    </cfRule>
  </conditionalFormatting>
  <conditionalFormatting sqref="V169">
    <cfRule type="cellIs" dxfId="3233" priority="3427" operator="between">
      <formula>0.76</formula>
      <formula>0.95</formula>
    </cfRule>
    <cfRule type="cellIs" dxfId="3232" priority="3428" operator="between">
      <formula>0.51</formula>
      <formula>0.75</formula>
    </cfRule>
    <cfRule type="cellIs" dxfId="3231" priority="3429" operator="greaterThan">
      <formula>1</formula>
    </cfRule>
    <cfRule type="cellIs" dxfId="3230" priority="3430" operator="between">
      <formula>0.95</formula>
      <formula>1</formula>
    </cfRule>
    <cfRule type="cellIs" dxfId="3229" priority="3431" stopIfTrue="1" operator="between">
      <formula>0</formula>
      <formula>0.5</formula>
    </cfRule>
  </conditionalFormatting>
  <conditionalFormatting sqref="V170">
    <cfRule type="cellIs" dxfId="3228" priority="3422" operator="between">
      <formula>0.76</formula>
      <formula>0.95</formula>
    </cfRule>
    <cfRule type="cellIs" dxfId="3227" priority="3423" operator="between">
      <formula>0.51</formula>
      <formula>0.75</formula>
    </cfRule>
    <cfRule type="cellIs" dxfId="3226" priority="3424" operator="greaterThan">
      <formula>1</formula>
    </cfRule>
    <cfRule type="cellIs" dxfId="3225" priority="3425" operator="between">
      <formula>0.95</formula>
      <formula>1</formula>
    </cfRule>
    <cfRule type="cellIs" dxfId="3224" priority="3426" stopIfTrue="1" operator="between">
      <formula>0</formula>
      <formula>0.5</formula>
    </cfRule>
  </conditionalFormatting>
  <conditionalFormatting sqref="V171">
    <cfRule type="cellIs" dxfId="3223" priority="3417" operator="between">
      <formula>0.76</formula>
      <formula>0.95</formula>
    </cfRule>
    <cfRule type="cellIs" dxfId="3222" priority="3418" operator="between">
      <formula>0.51</formula>
      <formula>0.75</formula>
    </cfRule>
    <cfRule type="cellIs" dxfId="3221" priority="3419" operator="greaterThan">
      <formula>1</formula>
    </cfRule>
    <cfRule type="cellIs" dxfId="3220" priority="3420" operator="between">
      <formula>0.95</formula>
      <formula>1</formula>
    </cfRule>
    <cfRule type="cellIs" dxfId="3219" priority="3421" stopIfTrue="1" operator="between">
      <formula>0</formula>
      <formula>0.5</formula>
    </cfRule>
  </conditionalFormatting>
  <conditionalFormatting sqref="V172">
    <cfRule type="cellIs" dxfId="3218" priority="3412" operator="between">
      <formula>0.76</formula>
      <formula>0.95</formula>
    </cfRule>
    <cfRule type="cellIs" dxfId="3217" priority="3413" operator="between">
      <formula>0.51</formula>
      <formula>0.75</formula>
    </cfRule>
    <cfRule type="cellIs" dxfId="3216" priority="3414" operator="greaterThan">
      <formula>1</formula>
    </cfRule>
    <cfRule type="cellIs" dxfId="3215" priority="3415" operator="between">
      <formula>0.95</formula>
      <formula>1</formula>
    </cfRule>
    <cfRule type="cellIs" dxfId="3214" priority="3416" stopIfTrue="1" operator="between">
      <formula>0</formula>
      <formula>0.5</formula>
    </cfRule>
  </conditionalFormatting>
  <conditionalFormatting sqref="V173">
    <cfRule type="cellIs" dxfId="3213" priority="3407" operator="between">
      <formula>0.76</formula>
      <formula>0.95</formula>
    </cfRule>
    <cfRule type="cellIs" dxfId="3212" priority="3408" operator="between">
      <formula>0.51</formula>
      <formula>0.75</formula>
    </cfRule>
    <cfRule type="cellIs" dxfId="3211" priority="3409" operator="greaterThan">
      <formula>1</formula>
    </cfRule>
    <cfRule type="cellIs" dxfId="3210" priority="3410" operator="between">
      <formula>0.95</formula>
      <formula>1</formula>
    </cfRule>
    <cfRule type="cellIs" dxfId="3209" priority="3411" stopIfTrue="1" operator="between">
      <formula>0</formula>
      <formula>0.5</formula>
    </cfRule>
  </conditionalFormatting>
  <conditionalFormatting sqref="V174">
    <cfRule type="cellIs" dxfId="3208" priority="3402" operator="between">
      <formula>0.76</formula>
      <formula>0.95</formula>
    </cfRule>
    <cfRule type="cellIs" dxfId="3207" priority="3403" operator="between">
      <formula>0.51</formula>
      <formula>0.75</formula>
    </cfRule>
    <cfRule type="cellIs" dxfId="3206" priority="3404" operator="greaterThan">
      <formula>1</formula>
    </cfRule>
    <cfRule type="cellIs" dxfId="3205" priority="3405" operator="between">
      <formula>0.95</formula>
      <formula>1</formula>
    </cfRule>
    <cfRule type="cellIs" dxfId="3204" priority="3406" stopIfTrue="1" operator="between">
      <formula>0</formula>
      <formula>0.5</formula>
    </cfRule>
  </conditionalFormatting>
  <conditionalFormatting sqref="V175">
    <cfRule type="cellIs" dxfId="3203" priority="3397" operator="between">
      <formula>0.76</formula>
      <formula>0.95</formula>
    </cfRule>
    <cfRule type="cellIs" dxfId="3202" priority="3398" operator="between">
      <formula>0.51</formula>
      <formula>0.75</formula>
    </cfRule>
    <cfRule type="cellIs" dxfId="3201" priority="3399" operator="greaterThan">
      <formula>1</formula>
    </cfRule>
    <cfRule type="cellIs" dxfId="3200" priority="3400" operator="between">
      <formula>0.95</formula>
      <formula>1</formula>
    </cfRule>
    <cfRule type="cellIs" dxfId="3199" priority="3401" stopIfTrue="1" operator="between">
      <formula>0</formula>
      <formula>0.5</formula>
    </cfRule>
  </conditionalFormatting>
  <conditionalFormatting sqref="V176">
    <cfRule type="cellIs" dxfId="3198" priority="3392" operator="between">
      <formula>0.76</formula>
      <formula>0.95</formula>
    </cfRule>
    <cfRule type="cellIs" dxfId="3197" priority="3393" operator="between">
      <formula>0.51</formula>
      <formula>0.75</formula>
    </cfRule>
    <cfRule type="cellIs" dxfId="3196" priority="3394" operator="greaterThan">
      <formula>1</formula>
    </cfRule>
    <cfRule type="cellIs" dxfId="3195" priority="3395" operator="between">
      <formula>0.95</formula>
      <formula>1</formula>
    </cfRule>
    <cfRule type="cellIs" dxfId="3194" priority="3396" stopIfTrue="1" operator="between">
      <formula>0</formula>
      <formula>0.5</formula>
    </cfRule>
  </conditionalFormatting>
  <conditionalFormatting sqref="V177">
    <cfRule type="cellIs" dxfId="3193" priority="3387" operator="between">
      <formula>0.76</formula>
      <formula>0.95</formula>
    </cfRule>
    <cfRule type="cellIs" dxfId="3192" priority="3388" operator="between">
      <formula>0.51</formula>
      <formula>0.75</formula>
    </cfRule>
    <cfRule type="cellIs" dxfId="3191" priority="3389" operator="greaterThan">
      <formula>1</formula>
    </cfRule>
    <cfRule type="cellIs" dxfId="3190" priority="3390" operator="between">
      <formula>0.95</formula>
      <formula>1</formula>
    </cfRule>
    <cfRule type="cellIs" dxfId="3189" priority="3391" stopIfTrue="1" operator="between">
      <formula>0</formula>
      <formula>0.5</formula>
    </cfRule>
  </conditionalFormatting>
  <conditionalFormatting sqref="V178">
    <cfRule type="cellIs" dxfId="3188" priority="3382" operator="between">
      <formula>0.76</formula>
      <formula>0.95</formula>
    </cfRule>
    <cfRule type="cellIs" dxfId="3187" priority="3383" operator="between">
      <formula>0.51</formula>
      <formula>0.75</formula>
    </cfRule>
    <cfRule type="cellIs" dxfId="3186" priority="3384" operator="greaterThan">
      <formula>1</formula>
    </cfRule>
    <cfRule type="cellIs" dxfId="3185" priority="3385" operator="between">
      <formula>0.95</formula>
      <formula>1</formula>
    </cfRule>
    <cfRule type="cellIs" dxfId="3184" priority="3386" stopIfTrue="1" operator="between">
      <formula>0</formula>
      <formula>0.5</formula>
    </cfRule>
  </conditionalFormatting>
  <conditionalFormatting sqref="V179">
    <cfRule type="cellIs" dxfId="3183" priority="3377" operator="between">
      <formula>0.76</formula>
      <formula>0.95</formula>
    </cfRule>
    <cfRule type="cellIs" dxfId="3182" priority="3378" operator="between">
      <formula>0.51</formula>
      <formula>0.75</formula>
    </cfRule>
    <cfRule type="cellIs" dxfId="3181" priority="3379" operator="greaterThan">
      <formula>1</formula>
    </cfRule>
    <cfRule type="cellIs" dxfId="3180" priority="3380" operator="between">
      <formula>0.95</formula>
      <formula>1</formula>
    </cfRule>
    <cfRule type="cellIs" dxfId="3179" priority="3381" stopIfTrue="1" operator="between">
      <formula>0</formula>
      <formula>0.5</formula>
    </cfRule>
  </conditionalFormatting>
  <conditionalFormatting sqref="V180">
    <cfRule type="cellIs" dxfId="3178" priority="3372" operator="between">
      <formula>0.76</formula>
      <formula>0.95</formula>
    </cfRule>
    <cfRule type="cellIs" dxfId="3177" priority="3373" operator="between">
      <formula>0.51</formula>
      <formula>0.75</formula>
    </cfRule>
    <cfRule type="cellIs" dxfId="3176" priority="3374" operator="greaterThan">
      <formula>1</formula>
    </cfRule>
    <cfRule type="cellIs" dxfId="3175" priority="3375" operator="between">
      <formula>0.95</formula>
      <formula>1</formula>
    </cfRule>
    <cfRule type="cellIs" dxfId="3174" priority="3376" stopIfTrue="1" operator="between">
      <formula>0</formula>
      <formula>0.5</formula>
    </cfRule>
  </conditionalFormatting>
  <conditionalFormatting sqref="V181">
    <cfRule type="cellIs" dxfId="3173" priority="3367" operator="between">
      <formula>0.76</formula>
      <formula>0.95</formula>
    </cfRule>
    <cfRule type="cellIs" dxfId="3172" priority="3368" operator="between">
      <formula>0.51</formula>
      <formula>0.75</formula>
    </cfRule>
    <cfRule type="cellIs" dxfId="3171" priority="3369" operator="greaterThan">
      <formula>1</formula>
    </cfRule>
    <cfRule type="cellIs" dxfId="3170" priority="3370" operator="between">
      <formula>0.95</formula>
      <formula>1</formula>
    </cfRule>
    <cfRule type="cellIs" dxfId="3169" priority="3371" stopIfTrue="1" operator="between">
      <formula>0</formula>
      <formula>0.5</formula>
    </cfRule>
  </conditionalFormatting>
  <conditionalFormatting sqref="V182">
    <cfRule type="cellIs" dxfId="3168" priority="3357" operator="between">
      <formula>0.76</formula>
      <formula>0.95</formula>
    </cfRule>
    <cfRule type="cellIs" dxfId="3167" priority="3358" operator="between">
      <formula>0.51</formula>
      <formula>0.75</formula>
    </cfRule>
    <cfRule type="cellIs" dxfId="3166" priority="3359" operator="greaterThan">
      <formula>1</formula>
    </cfRule>
    <cfRule type="cellIs" dxfId="3165" priority="3360" operator="between">
      <formula>0.95</formula>
      <formula>1</formula>
    </cfRule>
    <cfRule type="cellIs" dxfId="3164" priority="3361" stopIfTrue="1" operator="between">
      <formula>0</formula>
      <formula>0.5</formula>
    </cfRule>
  </conditionalFormatting>
  <conditionalFormatting sqref="V183">
    <cfRule type="cellIs" dxfId="3163" priority="3352" operator="between">
      <formula>0.76</formula>
      <formula>0.95</formula>
    </cfRule>
    <cfRule type="cellIs" dxfId="3162" priority="3353" operator="between">
      <formula>0.51</formula>
      <formula>0.75</formula>
    </cfRule>
    <cfRule type="cellIs" dxfId="3161" priority="3354" operator="greaterThan">
      <formula>1</formula>
    </cfRule>
    <cfRule type="cellIs" dxfId="3160" priority="3355" operator="between">
      <formula>0.95</formula>
      <formula>1</formula>
    </cfRule>
    <cfRule type="cellIs" dxfId="3159" priority="3356" stopIfTrue="1" operator="between">
      <formula>0</formula>
      <formula>0.5</formula>
    </cfRule>
  </conditionalFormatting>
  <conditionalFormatting sqref="V184">
    <cfRule type="cellIs" dxfId="3158" priority="3347" operator="between">
      <formula>0.76</formula>
      <formula>0.95</formula>
    </cfRule>
    <cfRule type="cellIs" dxfId="3157" priority="3348" operator="between">
      <formula>0.51</formula>
      <formula>0.75</formula>
    </cfRule>
    <cfRule type="cellIs" dxfId="3156" priority="3349" operator="greaterThan">
      <formula>1</formula>
    </cfRule>
    <cfRule type="cellIs" dxfId="3155" priority="3350" operator="between">
      <formula>0.95</formula>
      <formula>1</formula>
    </cfRule>
    <cfRule type="cellIs" dxfId="3154" priority="3351" stopIfTrue="1" operator="between">
      <formula>0</formula>
      <formula>0.5</formula>
    </cfRule>
  </conditionalFormatting>
  <conditionalFormatting sqref="V185">
    <cfRule type="cellIs" dxfId="3153" priority="3342" operator="between">
      <formula>0.76</formula>
      <formula>0.95</formula>
    </cfRule>
    <cfRule type="cellIs" dxfId="3152" priority="3343" operator="between">
      <formula>0.51</formula>
      <formula>0.75</formula>
    </cfRule>
    <cfRule type="cellIs" dxfId="3151" priority="3344" operator="greaterThan">
      <formula>1</formula>
    </cfRule>
    <cfRule type="cellIs" dxfId="3150" priority="3345" operator="between">
      <formula>0.95</formula>
      <formula>1</formula>
    </cfRule>
    <cfRule type="cellIs" dxfId="3149" priority="3346" stopIfTrue="1" operator="between">
      <formula>0</formula>
      <formula>0.5</formula>
    </cfRule>
  </conditionalFormatting>
  <conditionalFormatting sqref="V186">
    <cfRule type="cellIs" dxfId="3148" priority="3337" operator="between">
      <formula>0.76</formula>
      <formula>0.95</formula>
    </cfRule>
    <cfRule type="cellIs" dxfId="3147" priority="3338" operator="between">
      <formula>0.51</formula>
      <formula>0.75</formula>
    </cfRule>
    <cfRule type="cellIs" dxfId="3146" priority="3339" operator="greaterThan">
      <formula>1</formula>
    </cfRule>
    <cfRule type="cellIs" dxfId="3145" priority="3340" operator="between">
      <formula>0.95</formula>
      <formula>1</formula>
    </cfRule>
    <cfRule type="cellIs" dxfId="3144" priority="3341" stopIfTrue="1" operator="between">
      <formula>0</formula>
      <formula>0.5</formula>
    </cfRule>
  </conditionalFormatting>
  <conditionalFormatting sqref="V187">
    <cfRule type="cellIs" dxfId="3143" priority="3332" operator="between">
      <formula>0.76</formula>
      <formula>0.95</formula>
    </cfRule>
    <cfRule type="cellIs" dxfId="3142" priority="3333" operator="between">
      <formula>0.51</formula>
      <formula>0.75</formula>
    </cfRule>
    <cfRule type="cellIs" dxfId="3141" priority="3334" operator="greaterThan">
      <formula>1</formula>
    </cfRule>
    <cfRule type="cellIs" dxfId="3140" priority="3335" operator="between">
      <formula>0.95</formula>
      <formula>1</formula>
    </cfRule>
    <cfRule type="cellIs" dxfId="3139" priority="3336" stopIfTrue="1" operator="between">
      <formula>0</formula>
      <formula>0.5</formula>
    </cfRule>
  </conditionalFormatting>
  <conditionalFormatting sqref="V188">
    <cfRule type="cellIs" dxfId="3138" priority="3327" operator="between">
      <formula>0.76</formula>
      <formula>0.95</formula>
    </cfRule>
    <cfRule type="cellIs" dxfId="3137" priority="3328" operator="between">
      <formula>0.51</formula>
      <formula>0.75</formula>
    </cfRule>
    <cfRule type="cellIs" dxfId="3136" priority="3329" operator="greaterThan">
      <formula>1</formula>
    </cfRule>
    <cfRule type="cellIs" dxfId="3135" priority="3330" operator="between">
      <formula>0.95</formula>
      <formula>1</formula>
    </cfRule>
    <cfRule type="cellIs" dxfId="3134" priority="3331" stopIfTrue="1" operator="between">
      <formula>0</formula>
      <formula>0.5</formula>
    </cfRule>
  </conditionalFormatting>
  <conditionalFormatting sqref="V189">
    <cfRule type="cellIs" dxfId="3133" priority="3312" operator="between">
      <formula>0.76</formula>
      <formula>0.95</formula>
    </cfRule>
    <cfRule type="cellIs" dxfId="3132" priority="3313" operator="between">
      <formula>0.51</formula>
      <formula>0.75</formula>
    </cfRule>
    <cfRule type="cellIs" dxfId="3131" priority="3314" operator="greaterThan">
      <formula>1</formula>
    </cfRule>
    <cfRule type="cellIs" dxfId="3130" priority="3315" operator="between">
      <formula>0.95</formula>
      <formula>1</formula>
    </cfRule>
    <cfRule type="cellIs" dxfId="3129" priority="3316" stopIfTrue="1" operator="between">
      <formula>0</formula>
      <formula>0.5</formula>
    </cfRule>
  </conditionalFormatting>
  <conditionalFormatting sqref="V190">
    <cfRule type="cellIs" dxfId="3128" priority="3307" operator="between">
      <formula>0.76</formula>
      <formula>0.95</formula>
    </cfRule>
    <cfRule type="cellIs" dxfId="3127" priority="3308" operator="between">
      <formula>0.51</formula>
      <formula>0.75</formula>
    </cfRule>
    <cfRule type="cellIs" dxfId="3126" priority="3309" operator="greaterThan">
      <formula>1</formula>
    </cfRule>
    <cfRule type="cellIs" dxfId="3125" priority="3310" operator="between">
      <formula>0.95</formula>
      <formula>1</formula>
    </cfRule>
    <cfRule type="cellIs" dxfId="3124" priority="3311" stopIfTrue="1" operator="between">
      <formula>0</formula>
      <formula>0.5</formula>
    </cfRule>
  </conditionalFormatting>
  <conditionalFormatting sqref="V191">
    <cfRule type="cellIs" dxfId="3123" priority="3302" operator="between">
      <formula>0.76</formula>
      <formula>0.95</formula>
    </cfRule>
    <cfRule type="cellIs" dxfId="3122" priority="3303" operator="between">
      <formula>0.51</formula>
      <formula>0.75</formula>
    </cfRule>
    <cfRule type="cellIs" dxfId="3121" priority="3304" operator="greaterThan">
      <formula>1</formula>
    </cfRule>
    <cfRule type="cellIs" dxfId="3120" priority="3305" operator="between">
      <formula>0.95</formula>
      <formula>1</formula>
    </cfRule>
    <cfRule type="cellIs" dxfId="3119" priority="3306" stopIfTrue="1" operator="between">
      <formula>0</formula>
      <formula>0.5</formula>
    </cfRule>
  </conditionalFormatting>
  <conditionalFormatting sqref="V192">
    <cfRule type="cellIs" dxfId="3118" priority="3297" operator="between">
      <formula>0.76</formula>
      <formula>0.95</formula>
    </cfRule>
    <cfRule type="cellIs" dxfId="3117" priority="3298" operator="between">
      <formula>0.51</formula>
      <formula>0.75</formula>
    </cfRule>
    <cfRule type="cellIs" dxfId="3116" priority="3299" operator="greaterThan">
      <formula>1</formula>
    </cfRule>
    <cfRule type="cellIs" dxfId="3115" priority="3300" operator="between">
      <formula>0.95</formula>
      <formula>1</formula>
    </cfRule>
    <cfRule type="cellIs" dxfId="3114" priority="3301" stopIfTrue="1" operator="between">
      <formula>0</formula>
      <formula>0.5</formula>
    </cfRule>
  </conditionalFormatting>
  <conditionalFormatting sqref="V193">
    <cfRule type="cellIs" dxfId="3113" priority="3292" operator="between">
      <formula>0.76</formula>
      <formula>0.95</formula>
    </cfRule>
    <cfRule type="cellIs" dxfId="3112" priority="3293" operator="between">
      <formula>0.51</formula>
      <formula>0.75</formula>
    </cfRule>
    <cfRule type="cellIs" dxfId="3111" priority="3294" operator="greaterThan">
      <formula>1</formula>
    </cfRule>
    <cfRule type="cellIs" dxfId="3110" priority="3295" operator="between">
      <formula>0.95</formula>
      <formula>1</formula>
    </cfRule>
    <cfRule type="cellIs" dxfId="3109" priority="3296" stopIfTrue="1" operator="between">
      <formula>0</formula>
      <formula>0.5</formula>
    </cfRule>
  </conditionalFormatting>
  <conditionalFormatting sqref="V194">
    <cfRule type="cellIs" dxfId="3108" priority="3277" operator="between">
      <formula>0.76</formula>
      <formula>0.95</formula>
    </cfRule>
    <cfRule type="cellIs" dxfId="3107" priority="3278" operator="between">
      <formula>0.51</formula>
      <formula>0.75</formula>
    </cfRule>
    <cfRule type="cellIs" dxfId="3106" priority="3279" operator="greaterThan">
      <formula>1</formula>
    </cfRule>
    <cfRule type="cellIs" dxfId="3105" priority="3280" operator="between">
      <formula>0.95</formula>
      <formula>1</formula>
    </cfRule>
    <cfRule type="cellIs" dxfId="3104" priority="3281" stopIfTrue="1" operator="between">
      <formula>0</formula>
      <formula>0.5</formula>
    </cfRule>
  </conditionalFormatting>
  <conditionalFormatting sqref="V195">
    <cfRule type="cellIs" dxfId="3103" priority="3272" operator="between">
      <formula>0.76</formula>
      <formula>0.95</formula>
    </cfRule>
    <cfRule type="cellIs" dxfId="3102" priority="3273" operator="between">
      <formula>0.51</formula>
      <formula>0.75</formula>
    </cfRule>
    <cfRule type="cellIs" dxfId="3101" priority="3274" operator="greaterThan">
      <formula>1</formula>
    </cfRule>
    <cfRule type="cellIs" dxfId="3100" priority="3275" operator="between">
      <formula>0.95</formula>
      <formula>1</formula>
    </cfRule>
    <cfRule type="cellIs" dxfId="3099" priority="3276" stopIfTrue="1" operator="between">
      <formula>0</formula>
      <formula>0.5</formula>
    </cfRule>
  </conditionalFormatting>
  <conditionalFormatting sqref="V196">
    <cfRule type="cellIs" dxfId="3098" priority="3267" operator="between">
      <formula>0.76</formula>
      <formula>0.95</formula>
    </cfRule>
    <cfRule type="cellIs" dxfId="3097" priority="3268" operator="between">
      <formula>0.51</formula>
      <formula>0.75</formula>
    </cfRule>
    <cfRule type="cellIs" dxfId="3096" priority="3269" operator="greaterThan">
      <formula>1</formula>
    </cfRule>
    <cfRule type="cellIs" dxfId="3095" priority="3270" operator="between">
      <formula>0.95</formula>
      <formula>1</formula>
    </cfRule>
    <cfRule type="cellIs" dxfId="3094" priority="3271" stopIfTrue="1" operator="between">
      <formula>0</formula>
      <formula>0.5</formula>
    </cfRule>
  </conditionalFormatting>
  <conditionalFormatting sqref="V197">
    <cfRule type="cellIs" dxfId="3093" priority="3262" operator="between">
      <formula>0.76</formula>
      <formula>0.95</formula>
    </cfRule>
    <cfRule type="cellIs" dxfId="3092" priority="3263" operator="between">
      <formula>0.51</formula>
      <formula>0.75</formula>
    </cfRule>
    <cfRule type="cellIs" dxfId="3091" priority="3264" operator="greaterThan">
      <formula>1</formula>
    </cfRule>
    <cfRule type="cellIs" dxfId="3090" priority="3265" operator="between">
      <formula>0.95</formula>
      <formula>1</formula>
    </cfRule>
    <cfRule type="cellIs" dxfId="3089" priority="3266" stopIfTrue="1" operator="between">
      <formula>0</formula>
      <formula>0.5</formula>
    </cfRule>
  </conditionalFormatting>
  <conditionalFormatting sqref="V198">
    <cfRule type="cellIs" dxfId="3088" priority="3257" operator="between">
      <formula>0.76</formula>
      <formula>0.95</formula>
    </cfRule>
    <cfRule type="cellIs" dxfId="3087" priority="3258" operator="between">
      <formula>0.51</formula>
      <formula>0.75</formula>
    </cfRule>
    <cfRule type="cellIs" dxfId="3086" priority="3259" operator="greaterThan">
      <formula>1</formula>
    </cfRule>
    <cfRule type="cellIs" dxfId="3085" priority="3260" operator="between">
      <formula>0.95</formula>
      <formula>1</formula>
    </cfRule>
    <cfRule type="cellIs" dxfId="3084" priority="3261" stopIfTrue="1" operator="between">
      <formula>0</formula>
      <formula>0.5</formula>
    </cfRule>
  </conditionalFormatting>
  <conditionalFormatting sqref="V199">
    <cfRule type="cellIs" dxfId="3083" priority="3252" operator="between">
      <formula>0.76</formula>
      <formula>0.95</formula>
    </cfRule>
    <cfRule type="cellIs" dxfId="3082" priority="3253" operator="between">
      <formula>0.51</formula>
      <formula>0.75</formula>
    </cfRule>
    <cfRule type="cellIs" dxfId="3081" priority="3254" operator="greaterThan">
      <formula>1</formula>
    </cfRule>
    <cfRule type="cellIs" dxfId="3080" priority="3255" operator="between">
      <formula>0.95</formula>
      <formula>1</formula>
    </cfRule>
    <cfRule type="cellIs" dxfId="3079" priority="3256" stopIfTrue="1" operator="between">
      <formula>0</formula>
      <formula>0.5</formula>
    </cfRule>
  </conditionalFormatting>
  <conditionalFormatting sqref="V200">
    <cfRule type="cellIs" dxfId="3078" priority="3247" operator="between">
      <formula>0.76</formula>
      <formula>0.95</formula>
    </cfRule>
    <cfRule type="cellIs" dxfId="3077" priority="3248" operator="between">
      <formula>0.51</formula>
      <formula>0.75</formula>
    </cfRule>
    <cfRule type="cellIs" dxfId="3076" priority="3249" operator="greaterThan">
      <formula>1</formula>
    </cfRule>
    <cfRule type="cellIs" dxfId="3075" priority="3250" operator="between">
      <formula>0.95</formula>
      <formula>1</formula>
    </cfRule>
    <cfRule type="cellIs" dxfId="3074" priority="3251" stopIfTrue="1" operator="between">
      <formula>0</formula>
      <formula>0.5</formula>
    </cfRule>
  </conditionalFormatting>
  <conditionalFormatting sqref="V201">
    <cfRule type="cellIs" dxfId="3073" priority="3242" operator="between">
      <formula>0.76</formula>
      <formula>0.95</formula>
    </cfRule>
    <cfRule type="cellIs" dxfId="3072" priority="3243" operator="between">
      <formula>0.51</formula>
      <formula>0.75</formula>
    </cfRule>
    <cfRule type="cellIs" dxfId="3071" priority="3244" operator="greaterThan">
      <formula>1</formula>
    </cfRule>
    <cfRule type="cellIs" dxfId="3070" priority="3245" operator="between">
      <formula>0.95</formula>
      <formula>1</formula>
    </cfRule>
    <cfRule type="cellIs" dxfId="3069" priority="3246" stopIfTrue="1" operator="between">
      <formula>0</formula>
      <formula>0.5</formula>
    </cfRule>
  </conditionalFormatting>
  <conditionalFormatting sqref="V202">
    <cfRule type="cellIs" dxfId="3068" priority="3237" operator="between">
      <formula>0.76</formula>
      <formula>0.95</formula>
    </cfRule>
    <cfRule type="cellIs" dxfId="3067" priority="3238" operator="between">
      <formula>0.51</formula>
      <formula>0.75</formula>
    </cfRule>
    <cfRule type="cellIs" dxfId="3066" priority="3239" operator="greaterThan">
      <formula>1</formula>
    </cfRule>
    <cfRule type="cellIs" dxfId="3065" priority="3240" operator="between">
      <formula>0.95</formula>
      <formula>1</formula>
    </cfRule>
    <cfRule type="cellIs" dxfId="3064" priority="3241" stopIfTrue="1" operator="between">
      <formula>0</formula>
      <formula>0.5</formula>
    </cfRule>
  </conditionalFormatting>
  <conditionalFormatting sqref="V203">
    <cfRule type="cellIs" dxfId="3063" priority="3232" operator="between">
      <formula>0.76</formula>
      <formula>0.95</formula>
    </cfRule>
    <cfRule type="cellIs" dxfId="3062" priority="3233" operator="between">
      <formula>0.51</formula>
      <formula>0.75</formula>
    </cfRule>
    <cfRule type="cellIs" dxfId="3061" priority="3234" operator="greaterThan">
      <formula>1</formula>
    </cfRule>
    <cfRule type="cellIs" dxfId="3060" priority="3235" operator="between">
      <formula>0.95</formula>
      <formula>1</formula>
    </cfRule>
    <cfRule type="cellIs" dxfId="3059" priority="3236" stopIfTrue="1" operator="between">
      <formula>0</formula>
      <formula>0.5</formula>
    </cfRule>
  </conditionalFormatting>
  <conditionalFormatting sqref="V204">
    <cfRule type="cellIs" dxfId="3058" priority="3227" operator="between">
      <formula>0.76</formula>
      <formula>0.95</formula>
    </cfRule>
    <cfRule type="cellIs" dxfId="3057" priority="3228" operator="between">
      <formula>0.51</formula>
      <formula>0.75</formula>
    </cfRule>
    <cfRule type="cellIs" dxfId="3056" priority="3229" operator="greaterThan">
      <formula>1</formula>
    </cfRule>
    <cfRule type="cellIs" dxfId="3055" priority="3230" operator="between">
      <formula>0.95</formula>
      <formula>1</formula>
    </cfRule>
    <cfRule type="cellIs" dxfId="3054" priority="3231" stopIfTrue="1" operator="between">
      <formula>0</formula>
      <formula>0.5</formula>
    </cfRule>
  </conditionalFormatting>
  <conditionalFormatting sqref="V205">
    <cfRule type="cellIs" dxfId="3053" priority="3222" operator="between">
      <formula>0.76</formula>
      <formula>0.95</formula>
    </cfRule>
    <cfRule type="cellIs" dxfId="3052" priority="3223" operator="between">
      <formula>0.51</formula>
      <formula>0.75</formula>
    </cfRule>
    <cfRule type="cellIs" dxfId="3051" priority="3224" operator="greaterThan">
      <formula>1</formula>
    </cfRule>
    <cfRule type="cellIs" dxfId="3050" priority="3225" operator="between">
      <formula>0.95</formula>
      <formula>1</formula>
    </cfRule>
    <cfRule type="cellIs" dxfId="3049" priority="3226" stopIfTrue="1" operator="between">
      <formula>0</formula>
      <formula>0.5</formula>
    </cfRule>
  </conditionalFormatting>
  <conditionalFormatting sqref="V207">
    <cfRule type="cellIs" dxfId="3048" priority="3217" operator="between">
      <formula>0.76</formula>
      <formula>0.95</formula>
    </cfRule>
    <cfRule type="cellIs" dxfId="3047" priority="3218" operator="between">
      <formula>0.51</formula>
      <formula>0.75</formula>
    </cfRule>
    <cfRule type="cellIs" dxfId="3046" priority="3219" operator="greaterThan">
      <formula>1</formula>
    </cfRule>
    <cfRule type="cellIs" dxfId="3045" priority="3220" operator="between">
      <formula>0.95</formula>
      <formula>1</formula>
    </cfRule>
    <cfRule type="cellIs" dxfId="3044" priority="3221" stopIfTrue="1" operator="between">
      <formula>0</formula>
      <formula>0.5</formula>
    </cfRule>
  </conditionalFormatting>
  <conditionalFormatting sqref="V208">
    <cfRule type="cellIs" dxfId="3043" priority="3212" operator="between">
      <formula>0.76</formula>
      <formula>0.95</formula>
    </cfRule>
    <cfRule type="cellIs" dxfId="3042" priority="3213" operator="between">
      <formula>0.51</formula>
      <formula>0.75</formula>
    </cfRule>
    <cfRule type="cellIs" dxfId="3041" priority="3214" operator="greaterThan">
      <formula>1</formula>
    </cfRule>
    <cfRule type="cellIs" dxfId="3040" priority="3215" operator="between">
      <formula>0.95</formula>
      <formula>1</formula>
    </cfRule>
    <cfRule type="cellIs" dxfId="3039" priority="3216" stopIfTrue="1" operator="between">
      <formula>0</formula>
      <formula>0.5</formula>
    </cfRule>
  </conditionalFormatting>
  <conditionalFormatting sqref="V209">
    <cfRule type="cellIs" dxfId="3038" priority="3207" operator="between">
      <formula>0.76</formula>
      <formula>0.95</formula>
    </cfRule>
    <cfRule type="cellIs" dxfId="3037" priority="3208" operator="between">
      <formula>0.51</formula>
      <formula>0.75</formula>
    </cfRule>
    <cfRule type="cellIs" dxfId="3036" priority="3209" operator="greaterThan">
      <formula>1</formula>
    </cfRule>
    <cfRule type="cellIs" dxfId="3035" priority="3210" operator="between">
      <formula>0.95</formula>
      <formula>1</formula>
    </cfRule>
    <cfRule type="cellIs" dxfId="3034" priority="3211" stopIfTrue="1" operator="between">
      <formula>0</formula>
      <formula>0.5</formula>
    </cfRule>
  </conditionalFormatting>
  <conditionalFormatting sqref="V210">
    <cfRule type="cellIs" dxfId="3033" priority="3202" operator="between">
      <formula>0.76</formula>
      <formula>0.95</formula>
    </cfRule>
    <cfRule type="cellIs" dxfId="3032" priority="3203" operator="between">
      <formula>0.51</formula>
      <formula>0.75</formula>
    </cfRule>
    <cfRule type="cellIs" dxfId="3031" priority="3204" operator="greaterThan">
      <formula>1</formula>
    </cfRule>
    <cfRule type="cellIs" dxfId="3030" priority="3205" operator="between">
      <formula>0.95</formula>
      <formula>1</formula>
    </cfRule>
    <cfRule type="cellIs" dxfId="3029" priority="3206" stopIfTrue="1" operator="between">
      <formula>0</formula>
      <formula>0.5</formula>
    </cfRule>
  </conditionalFormatting>
  <conditionalFormatting sqref="V211">
    <cfRule type="cellIs" dxfId="3028" priority="3197" operator="between">
      <formula>0.76</formula>
      <formula>0.95</formula>
    </cfRule>
    <cfRule type="cellIs" dxfId="3027" priority="3198" operator="between">
      <formula>0.51</formula>
      <formula>0.75</formula>
    </cfRule>
    <cfRule type="cellIs" dxfId="3026" priority="3199" operator="greaterThan">
      <formula>1</formula>
    </cfRule>
    <cfRule type="cellIs" dxfId="3025" priority="3200" operator="between">
      <formula>0.95</formula>
      <formula>1</formula>
    </cfRule>
    <cfRule type="cellIs" dxfId="3024" priority="3201" stopIfTrue="1" operator="between">
      <formula>0</formula>
      <formula>0.5</formula>
    </cfRule>
  </conditionalFormatting>
  <conditionalFormatting sqref="V212">
    <cfRule type="cellIs" dxfId="3023" priority="3192" operator="between">
      <formula>0.76</formula>
      <formula>0.95</formula>
    </cfRule>
    <cfRule type="cellIs" dxfId="3022" priority="3193" operator="between">
      <formula>0.51</formula>
      <formula>0.75</formula>
    </cfRule>
    <cfRule type="cellIs" dxfId="3021" priority="3194" operator="greaterThan">
      <formula>1</formula>
    </cfRule>
    <cfRule type="cellIs" dxfId="3020" priority="3195" operator="between">
      <formula>0.95</formula>
      <formula>1</formula>
    </cfRule>
    <cfRule type="cellIs" dxfId="3019" priority="3196" stopIfTrue="1" operator="between">
      <formula>0</formula>
      <formula>0.5</formula>
    </cfRule>
  </conditionalFormatting>
  <conditionalFormatting sqref="V213">
    <cfRule type="cellIs" dxfId="3018" priority="3187" operator="between">
      <formula>0.76</formula>
      <formula>0.95</formula>
    </cfRule>
    <cfRule type="cellIs" dxfId="3017" priority="3188" operator="between">
      <formula>0.51</formula>
      <formula>0.75</formula>
    </cfRule>
    <cfRule type="cellIs" dxfId="3016" priority="3189" operator="greaterThan">
      <formula>1</formula>
    </cfRule>
    <cfRule type="cellIs" dxfId="3015" priority="3190" operator="between">
      <formula>0.95</formula>
      <formula>1</formula>
    </cfRule>
    <cfRule type="cellIs" dxfId="3014" priority="3191" stopIfTrue="1" operator="between">
      <formula>0</formula>
      <formula>0.5</formula>
    </cfRule>
  </conditionalFormatting>
  <conditionalFormatting sqref="V214">
    <cfRule type="cellIs" dxfId="3013" priority="3182" operator="between">
      <formula>0.76</formula>
      <formula>0.95</formula>
    </cfRule>
    <cfRule type="cellIs" dxfId="3012" priority="3183" operator="between">
      <formula>0.51</formula>
      <formula>0.75</formula>
    </cfRule>
    <cfRule type="cellIs" dxfId="3011" priority="3184" operator="greaterThan">
      <formula>1</formula>
    </cfRule>
    <cfRule type="cellIs" dxfId="3010" priority="3185" operator="between">
      <formula>0.95</formula>
      <formula>1</formula>
    </cfRule>
    <cfRule type="cellIs" dxfId="3009" priority="3186" stopIfTrue="1" operator="between">
      <formula>0</formula>
      <formula>0.5</formula>
    </cfRule>
  </conditionalFormatting>
  <conditionalFormatting sqref="V215">
    <cfRule type="cellIs" dxfId="3008" priority="3177" operator="between">
      <formula>0.76</formula>
      <formula>0.95</formula>
    </cfRule>
    <cfRule type="cellIs" dxfId="3007" priority="3178" operator="between">
      <formula>0.51</formula>
      <formula>0.75</formula>
    </cfRule>
    <cfRule type="cellIs" dxfId="3006" priority="3179" operator="greaterThan">
      <formula>1</formula>
    </cfRule>
    <cfRule type="cellIs" dxfId="3005" priority="3180" operator="between">
      <formula>0.95</formula>
      <formula>1</formula>
    </cfRule>
    <cfRule type="cellIs" dxfId="3004" priority="3181" stopIfTrue="1" operator="between">
      <formula>0</formula>
      <formula>0.5</formula>
    </cfRule>
  </conditionalFormatting>
  <conditionalFormatting sqref="V216">
    <cfRule type="cellIs" dxfId="3003" priority="3172" operator="between">
      <formula>0.76</formula>
      <formula>0.95</formula>
    </cfRule>
    <cfRule type="cellIs" dxfId="3002" priority="3173" operator="between">
      <formula>0.51</formula>
      <formula>0.75</formula>
    </cfRule>
    <cfRule type="cellIs" dxfId="3001" priority="3174" operator="greaterThan">
      <formula>1</formula>
    </cfRule>
    <cfRule type="cellIs" dxfId="3000" priority="3175" operator="between">
      <formula>0.95</formula>
      <formula>1</formula>
    </cfRule>
    <cfRule type="cellIs" dxfId="2999" priority="3176" stopIfTrue="1" operator="between">
      <formula>0</formula>
      <formula>0.5</formula>
    </cfRule>
  </conditionalFormatting>
  <conditionalFormatting sqref="V217">
    <cfRule type="cellIs" dxfId="2998" priority="3167" operator="between">
      <formula>0.76</formula>
      <formula>0.95</formula>
    </cfRule>
    <cfRule type="cellIs" dxfId="2997" priority="3168" operator="between">
      <formula>0.51</formula>
      <formula>0.75</formula>
    </cfRule>
    <cfRule type="cellIs" dxfId="2996" priority="3169" operator="greaterThan">
      <formula>1</formula>
    </cfRule>
    <cfRule type="cellIs" dxfId="2995" priority="3170" operator="between">
      <formula>0.95</formula>
      <formula>1</formula>
    </cfRule>
    <cfRule type="cellIs" dxfId="2994" priority="3171" stopIfTrue="1" operator="between">
      <formula>0</formula>
      <formula>0.5</formula>
    </cfRule>
  </conditionalFormatting>
  <conditionalFormatting sqref="U198">
    <cfRule type="cellIs" dxfId="2993" priority="1534" operator="between">
      <formula>0.76</formula>
      <formula>0.95</formula>
    </cfRule>
    <cfRule type="cellIs" dxfId="2992" priority="1535" operator="between">
      <formula>0.51</formula>
      <formula>0.75</formula>
    </cfRule>
    <cfRule type="cellIs" dxfId="2991" priority="1536" operator="greaterThan">
      <formula>1</formula>
    </cfRule>
    <cfRule type="cellIs" dxfId="2990" priority="1537" operator="between">
      <formula>0.95</formula>
      <formula>1</formula>
    </cfRule>
    <cfRule type="cellIs" dxfId="2989" priority="1538" stopIfTrue="1" operator="between">
      <formula>0</formula>
      <formula>0.5</formula>
    </cfRule>
  </conditionalFormatting>
  <conditionalFormatting sqref="V128">
    <cfRule type="cellIs" dxfId="2988" priority="1529" operator="between">
      <formula>0.76</formula>
      <formula>0.95</formula>
    </cfRule>
    <cfRule type="cellIs" dxfId="2987" priority="1530" operator="between">
      <formula>0.51</formula>
      <formula>0.75</formula>
    </cfRule>
    <cfRule type="cellIs" dxfId="2986" priority="1531" operator="greaterThan">
      <formula>1</formula>
    </cfRule>
    <cfRule type="cellIs" dxfId="2985" priority="1532" operator="between">
      <formula>0.95</formula>
      <formula>1</formula>
    </cfRule>
    <cfRule type="cellIs" dxfId="2984" priority="1533" stopIfTrue="1" operator="between">
      <formula>0</formula>
      <formula>0.5</formula>
    </cfRule>
  </conditionalFormatting>
  <conditionalFormatting sqref="J15">
    <cfRule type="cellIs" dxfId="2983" priority="1524" operator="between">
      <formula>0.191</formula>
      <formula>0.24</formula>
    </cfRule>
    <cfRule type="cellIs" dxfId="2982" priority="1525" operator="between">
      <formula>0.1251</formula>
      <formula>0.19</formula>
    </cfRule>
    <cfRule type="cellIs" dxfId="2981" priority="1526" operator="greaterThan">
      <formula>0.2601</formula>
    </cfRule>
    <cfRule type="cellIs" dxfId="2980" priority="1527" operator="between">
      <formula>0.2401</formula>
      <formula>0.26</formula>
    </cfRule>
    <cfRule type="cellIs" dxfId="2979" priority="1528" stopIfTrue="1" operator="between">
      <formula>0</formula>
      <formula>0.125</formula>
    </cfRule>
  </conditionalFormatting>
  <conditionalFormatting sqref="J16">
    <cfRule type="cellIs" dxfId="2978" priority="1509" operator="between">
      <formula>0.191</formula>
      <formula>0.24</formula>
    </cfRule>
    <cfRule type="cellIs" dxfId="2977" priority="1510" operator="between">
      <formula>0.1251</formula>
      <formula>0.19</formula>
    </cfRule>
    <cfRule type="cellIs" dxfId="2976" priority="1511" operator="greaterThan">
      <formula>0.2601</formula>
    </cfRule>
    <cfRule type="cellIs" dxfId="2975" priority="1512" operator="between">
      <formula>0.2401</formula>
      <formula>0.26</formula>
    </cfRule>
    <cfRule type="cellIs" dxfId="2974" priority="1513" stopIfTrue="1" operator="between">
      <formula>0</formula>
      <formula>0.125</formula>
    </cfRule>
  </conditionalFormatting>
  <conditionalFormatting sqref="J17">
    <cfRule type="cellIs" dxfId="2973" priority="1504" operator="between">
      <formula>0.191</formula>
      <formula>0.24</formula>
    </cfRule>
    <cfRule type="cellIs" dxfId="2972" priority="1505" operator="between">
      <formula>0.1251</formula>
      <formula>0.19</formula>
    </cfRule>
    <cfRule type="cellIs" dxfId="2971" priority="1506" operator="greaterThan">
      <formula>0.2601</formula>
    </cfRule>
    <cfRule type="cellIs" dxfId="2970" priority="1507" operator="between">
      <formula>0.2401</formula>
      <formula>0.26</formula>
    </cfRule>
    <cfRule type="cellIs" dxfId="2969" priority="1508" stopIfTrue="1" operator="between">
      <formula>0</formula>
      <formula>0.125</formula>
    </cfRule>
  </conditionalFormatting>
  <conditionalFormatting sqref="J20">
    <cfRule type="cellIs" dxfId="2968" priority="1499" operator="between">
      <formula>0.191</formula>
      <formula>0.24</formula>
    </cfRule>
    <cfRule type="cellIs" dxfId="2967" priority="1500" operator="between">
      <formula>0.1251</formula>
      <formula>0.19</formula>
    </cfRule>
    <cfRule type="cellIs" dxfId="2966" priority="1501" operator="greaterThan">
      <formula>0.2601</formula>
    </cfRule>
    <cfRule type="cellIs" dxfId="2965" priority="1502" operator="between">
      <formula>0.2401</formula>
      <formula>0.26</formula>
    </cfRule>
    <cfRule type="cellIs" dxfId="2964" priority="1503" stopIfTrue="1" operator="between">
      <formula>0</formula>
      <formula>0.125</formula>
    </cfRule>
  </conditionalFormatting>
  <conditionalFormatting sqref="J21">
    <cfRule type="cellIs" dxfId="2963" priority="1494" operator="between">
      <formula>0.191</formula>
      <formula>0.24</formula>
    </cfRule>
    <cfRule type="cellIs" dxfId="2962" priority="1495" operator="between">
      <formula>0.1251</formula>
      <formula>0.19</formula>
    </cfRule>
    <cfRule type="cellIs" dxfId="2961" priority="1496" operator="greaterThan">
      <formula>0.2601</formula>
    </cfRule>
    <cfRule type="cellIs" dxfId="2960" priority="1497" operator="between">
      <formula>0.2401</formula>
      <formula>0.26</formula>
    </cfRule>
    <cfRule type="cellIs" dxfId="2959" priority="1498" stopIfTrue="1" operator="between">
      <formula>0</formula>
      <formula>0.125</formula>
    </cfRule>
  </conditionalFormatting>
  <conditionalFormatting sqref="J22">
    <cfRule type="cellIs" dxfId="2958" priority="1489" operator="between">
      <formula>0.191</formula>
      <formula>0.24</formula>
    </cfRule>
    <cfRule type="cellIs" dxfId="2957" priority="1490" operator="between">
      <formula>0.1251</formula>
      <formula>0.19</formula>
    </cfRule>
    <cfRule type="cellIs" dxfId="2956" priority="1491" operator="greaterThan">
      <formula>0.2601</formula>
    </cfRule>
    <cfRule type="cellIs" dxfId="2955" priority="1492" operator="between">
      <formula>0.2401</formula>
      <formula>0.26</formula>
    </cfRule>
    <cfRule type="cellIs" dxfId="2954" priority="1493" stopIfTrue="1" operator="between">
      <formula>0</formula>
      <formula>0.125</formula>
    </cfRule>
  </conditionalFormatting>
  <conditionalFormatting sqref="J23">
    <cfRule type="cellIs" dxfId="2953" priority="1484" operator="between">
      <formula>0.191</formula>
      <formula>0.24</formula>
    </cfRule>
    <cfRule type="cellIs" dxfId="2952" priority="1485" operator="between">
      <formula>0.1251</formula>
      <formula>0.19</formula>
    </cfRule>
    <cfRule type="cellIs" dxfId="2951" priority="1486" operator="greaterThan">
      <formula>0.2601</formula>
    </cfRule>
    <cfRule type="cellIs" dxfId="2950" priority="1487" operator="between">
      <formula>0.2401</formula>
      <formula>0.26</formula>
    </cfRule>
    <cfRule type="cellIs" dxfId="2949" priority="1488" stopIfTrue="1" operator="between">
      <formula>0</formula>
      <formula>0.125</formula>
    </cfRule>
  </conditionalFormatting>
  <conditionalFormatting sqref="J24">
    <cfRule type="cellIs" dxfId="2948" priority="1479" operator="between">
      <formula>0.191</formula>
      <formula>0.24</formula>
    </cfRule>
    <cfRule type="cellIs" dxfId="2947" priority="1480" operator="between">
      <formula>0.1251</formula>
      <formula>0.19</formula>
    </cfRule>
    <cfRule type="cellIs" dxfId="2946" priority="1481" operator="greaterThan">
      <formula>0.2601</formula>
    </cfRule>
    <cfRule type="cellIs" dxfId="2945" priority="1482" operator="between">
      <formula>0.2401</formula>
      <formula>0.26</formula>
    </cfRule>
    <cfRule type="cellIs" dxfId="2944" priority="1483" stopIfTrue="1" operator="between">
      <formula>0</formula>
      <formula>0.125</formula>
    </cfRule>
  </conditionalFormatting>
  <conditionalFormatting sqref="J25">
    <cfRule type="cellIs" dxfId="2943" priority="1474" operator="between">
      <formula>0.191</formula>
      <formula>0.24</formula>
    </cfRule>
    <cfRule type="cellIs" dxfId="2942" priority="1475" operator="between">
      <formula>0.1251</formula>
      <formula>0.19</formula>
    </cfRule>
    <cfRule type="cellIs" dxfId="2941" priority="1476" operator="greaterThan">
      <formula>0.2601</formula>
    </cfRule>
    <cfRule type="cellIs" dxfId="2940" priority="1477" operator="between">
      <formula>0.2401</formula>
      <formula>0.26</formula>
    </cfRule>
    <cfRule type="cellIs" dxfId="2939" priority="1478" stopIfTrue="1" operator="between">
      <formula>0</formula>
      <formula>0.125</formula>
    </cfRule>
  </conditionalFormatting>
  <conditionalFormatting sqref="J27">
    <cfRule type="cellIs" dxfId="2938" priority="1469" operator="between">
      <formula>0.191</formula>
      <formula>0.24</formula>
    </cfRule>
    <cfRule type="cellIs" dxfId="2937" priority="1470" operator="between">
      <formula>0.1251</formula>
      <formula>0.19</formula>
    </cfRule>
    <cfRule type="cellIs" dxfId="2936" priority="1471" operator="greaterThan">
      <formula>0.2601</formula>
    </cfRule>
    <cfRule type="cellIs" dxfId="2935" priority="1472" operator="between">
      <formula>0.2401</formula>
      <formula>0.26</formula>
    </cfRule>
    <cfRule type="cellIs" dxfId="2934" priority="1473" stopIfTrue="1" operator="between">
      <formula>0</formula>
      <formula>0.125</formula>
    </cfRule>
  </conditionalFormatting>
  <conditionalFormatting sqref="J28">
    <cfRule type="cellIs" dxfId="2933" priority="1464" operator="between">
      <formula>0.191</formula>
      <formula>0.24</formula>
    </cfRule>
    <cfRule type="cellIs" dxfId="2932" priority="1465" operator="between">
      <formula>0.1251</formula>
      <formula>0.19</formula>
    </cfRule>
    <cfRule type="cellIs" dxfId="2931" priority="1466" operator="greaterThan">
      <formula>0.2601</formula>
    </cfRule>
    <cfRule type="cellIs" dxfId="2930" priority="1467" operator="between">
      <formula>0.2401</formula>
      <formula>0.26</formula>
    </cfRule>
    <cfRule type="cellIs" dxfId="2929" priority="1468" stopIfTrue="1" operator="between">
      <formula>0</formula>
      <formula>0.125</formula>
    </cfRule>
  </conditionalFormatting>
  <conditionalFormatting sqref="J29">
    <cfRule type="cellIs" dxfId="2928" priority="1459" operator="between">
      <formula>0.191</formula>
      <formula>0.24</formula>
    </cfRule>
    <cfRule type="cellIs" dxfId="2927" priority="1460" operator="between">
      <formula>0.1251</formula>
      <formula>0.19</formula>
    </cfRule>
    <cfRule type="cellIs" dxfId="2926" priority="1461" operator="greaterThan">
      <formula>0.2601</formula>
    </cfRule>
    <cfRule type="cellIs" dxfId="2925" priority="1462" operator="between">
      <formula>0.2401</formula>
      <formula>0.26</formula>
    </cfRule>
    <cfRule type="cellIs" dxfId="2924" priority="1463" stopIfTrue="1" operator="between">
      <formula>0</formula>
      <formula>0.125</formula>
    </cfRule>
  </conditionalFormatting>
  <conditionalFormatting sqref="J30">
    <cfRule type="cellIs" dxfId="2923" priority="1454" operator="between">
      <formula>0.191</formula>
      <formula>0.24</formula>
    </cfRule>
    <cfRule type="cellIs" dxfId="2922" priority="1455" operator="between">
      <formula>0.1251</formula>
      <formula>0.19</formula>
    </cfRule>
    <cfRule type="cellIs" dxfId="2921" priority="1456" operator="greaterThan">
      <formula>0.2601</formula>
    </cfRule>
    <cfRule type="cellIs" dxfId="2920" priority="1457" operator="between">
      <formula>0.2401</formula>
      <formula>0.26</formula>
    </cfRule>
    <cfRule type="cellIs" dxfId="2919" priority="1458" stopIfTrue="1" operator="between">
      <formula>0</formula>
      <formula>0.125</formula>
    </cfRule>
  </conditionalFormatting>
  <conditionalFormatting sqref="J31">
    <cfRule type="cellIs" dxfId="2918" priority="1449" operator="between">
      <formula>0.191</formula>
      <formula>0.24</formula>
    </cfRule>
    <cfRule type="cellIs" dxfId="2917" priority="1450" operator="between">
      <formula>0.1251</formula>
      <formula>0.19</formula>
    </cfRule>
    <cfRule type="cellIs" dxfId="2916" priority="1451" operator="greaterThan">
      <formula>0.2601</formula>
    </cfRule>
    <cfRule type="cellIs" dxfId="2915" priority="1452" operator="between">
      <formula>0.2401</formula>
      <formula>0.26</formula>
    </cfRule>
    <cfRule type="cellIs" dxfId="2914" priority="1453" stopIfTrue="1" operator="between">
      <formula>0</formula>
      <formula>0.125</formula>
    </cfRule>
  </conditionalFormatting>
  <conditionalFormatting sqref="J32">
    <cfRule type="cellIs" dxfId="2913" priority="1444" operator="between">
      <formula>0.191</formula>
      <formula>0.24</formula>
    </cfRule>
    <cfRule type="cellIs" dxfId="2912" priority="1445" operator="between">
      <formula>0.1251</formula>
      <formula>0.19</formula>
    </cfRule>
    <cfRule type="cellIs" dxfId="2911" priority="1446" operator="greaterThan">
      <formula>0.2601</formula>
    </cfRule>
    <cfRule type="cellIs" dxfId="2910" priority="1447" operator="between">
      <formula>0.2401</formula>
      <formula>0.26</formula>
    </cfRule>
    <cfRule type="cellIs" dxfId="2909" priority="1448" stopIfTrue="1" operator="between">
      <formula>0</formula>
      <formula>0.125</formula>
    </cfRule>
  </conditionalFormatting>
  <conditionalFormatting sqref="J33">
    <cfRule type="cellIs" dxfId="2908" priority="1439" operator="between">
      <formula>0.191</formula>
      <formula>0.24</formula>
    </cfRule>
    <cfRule type="cellIs" dxfId="2907" priority="1440" operator="between">
      <formula>0.1251</formula>
      <formula>0.19</formula>
    </cfRule>
    <cfRule type="cellIs" dxfId="2906" priority="1441" operator="greaterThan">
      <formula>0.2601</formula>
    </cfRule>
    <cfRule type="cellIs" dxfId="2905" priority="1442" operator="between">
      <formula>0.2401</formula>
      <formula>0.26</formula>
    </cfRule>
    <cfRule type="cellIs" dxfId="2904" priority="1443" stopIfTrue="1" operator="between">
      <formula>0</formula>
      <formula>0.125</formula>
    </cfRule>
  </conditionalFormatting>
  <conditionalFormatting sqref="J34">
    <cfRule type="cellIs" dxfId="2903" priority="1434" operator="between">
      <formula>0.191</formula>
      <formula>0.24</formula>
    </cfRule>
    <cfRule type="cellIs" dxfId="2902" priority="1435" operator="between">
      <formula>0.1251</formula>
      <formula>0.19</formula>
    </cfRule>
    <cfRule type="cellIs" dxfId="2901" priority="1436" operator="greaterThan">
      <formula>0.2601</formula>
    </cfRule>
    <cfRule type="cellIs" dxfId="2900" priority="1437" operator="between">
      <formula>0.2401</formula>
      <formula>0.26</formula>
    </cfRule>
    <cfRule type="cellIs" dxfId="2899" priority="1438" stopIfTrue="1" operator="between">
      <formula>0</formula>
      <formula>0.125</formula>
    </cfRule>
  </conditionalFormatting>
  <conditionalFormatting sqref="J35">
    <cfRule type="cellIs" dxfId="2898" priority="1429" operator="between">
      <formula>0.191</formula>
      <formula>0.24</formula>
    </cfRule>
    <cfRule type="cellIs" dxfId="2897" priority="1430" operator="between">
      <formula>0.1251</formula>
      <formula>0.19</formula>
    </cfRule>
    <cfRule type="cellIs" dxfId="2896" priority="1431" operator="greaterThan">
      <formula>0.2601</formula>
    </cfRule>
    <cfRule type="cellIs" dxfId="2895" priority="1432" operator="between">
      <formula>0.2401</formula>
      <formula>0.26</formula>
    </cfRule>
    <cfRule type="cellIs" dxfId="2894" priority="1433" stopIfTrue="1" operator="between">
      <formula>0</formula>
      <formula>0.125</formula>
    </cfRule>
  </conditionalFormatting>
  <conditionalFormatting sqref="J36">
    <cfRule type="cellIs" dxfId="2893" priority="1424" operator="between">
      <formula>0.191</formula>
      <formula>0.24</formula>
    </cfRule>
    <cfRule type="cellIs" dxfId="2892" priority="1425" operator="between">
      <formula>0.1251</formula>
      <formula>0.19</formula>
    </cfRule>
    <cfRule type="cellIs" dxfId="2891" priority="1426" operator="greaterThan">
      <formula>0.2601</formula>
    </cfRule>
    <cfRule type="cellIs" dxfId="2890" priority="1427" operator="between">
      <formula>0.2401</formula>
      <formula>0.26</formula>
    </cfRule>
    <cfRule type="cellIs" dxfId="2889" priority="1428" stopIfTrue="1" operator="between">
      <formula>0</formula>
      <formula>0.125</formula>
    </cfRule>
  </conditionalFormatting>
  <conditionalFormatting sqref="J37">
    <cfRule type="cellIs" dxfId="2888" priority="1419" operator="between">
      <formula>0.191</formula>
      <formula>0.24</formula>
    </cfRule>
    <cfRule type="cellIs" dxfId="2887" priority="1420" operator="between">
      <formula>0.1251</formula>
      <formula>0.19</formula>
    </cfRule>
    <cfRule type="cellIs" dxfId="2886" priority="1421" operator="greaterThan">
      <formula>0.2601</formula>
    </cfRule>
    <cfRule type="cellIs" dxfId="2885" priority="1422" operator="between">
      <formula>0.2401</formula>
      <formula>0.26</formula>
    </cfRule>
    <cfRule type="cellIs" dxfId="2884" priority="1423" stopIfTrue="1" operator="between">
      <formula>0</formula>
      <formula>0.125</formula>
    </cfRule>
  </conditionalFormatting>
  <conditionalFormatting sqref="J38">
    <cfRule type="cellIs" dxfId="2883" priority="1414" operator="between">
      <formula>0.191</formula>
      <formula>0.24</formula>
    </cfRule>
    <cfRule type="cellIs" dxfId="2882" priority="1415" operator="between">
      <formula>0.1251</formula>
      <formula>0.19</formula>
    </cfRule>
    <cfRule type="cellIs" dxfId="2881" priority="1416" operator="greaterThan">
      <formula>0.2601</formula>
    </cfRule>
    <cfRule type="cellIs" dxfId="2880" priority="1417" operator="between">
      <formula>0.2401</formula>
      <formula>0.26</formula>
    </cfRule>
    <cfRule type="cellIs" dxfId="2879" priority="1418" stopIfTrue="1" operator="between">
      <formula>0</formula>
      <formula>0.125</formula>
    </cfRule>
  </conditionalFormatting>
  <conditionalFormatting sqref="J39">
    <cfRule type="cellIs" dxfId="2878" priority="1409" operator="between">
      <formula>0.191</formula>
      <formula>0.24</formula>
    </cfRule>
    <cfRule type="cellIs" dxfId="2877" priority="1410" operator="between">
      <formula>0.1251</formula>
      <formula>0.19</formula>
    </cfRule>
    <cfRule type="cellIs" dxfId="2876" priority="1411" operator="greaterThan">
      <formula>0.2601</formula>
    </cfRule>
    <cfRule type="cellIs" dxfId="2875" priority="1412" operator="between">
      <formula>0.2401</formula>
      <formula>0.26</formula>
    </cfRule>
    <cfRule type="cellIs" dxfId="2874" priority="1413" stopIfTrue="1" operator="between">
      <formula>0</formula>
      <formula>0.125</formula>
    </cfRule>
  </conditionalFormatting>
  <conditionalFormatting sqref="J40">
    <cfRule type="cellIs" dxfId="2873" priority="1404" operator="between">
      <formula>0.191</formula>
      <formula>0.24</formula>
    </cfRule>
    <cfRule type="cellIs" dxfId="2872" priority="1405" operator="between">
      <formula>0.1251</formula>
      <formula>0.19</formula>
    </cfRule>
    <cfRule type="cellIs" dxfId="2871" priority="1406" operator="greaterThan">
      <formula>0.2601</formula>
    </cfRule>
    <cfRule type="cellIs" dxfId="2870" priority="1407" operator="between">
      <formula>0.2401</formula>
      <formula>0.26</formula>
    </cfRule>
    <cfRule type="cellIs" dxfId="2869" priority="1408" stopIfTrue="1" operator="between">
      <formula>0</formula>
      <formula>0.125</formula>
    </cfRule>
  </conditionalFormatting>
  <conditionalFormatting sqref="J41">
    <cfRule type="cellIs" dxfId="2868" priority="1399" operator="between">
      <formula>0.191</formula>
      <formula>0.24</formula>
    </cfRule>
    <cfRule type="cellIs" dxfId="2867" priority="1400" operator="between">
      <formula>0.1251</formula>
      <formula>0.19</formula>
    </cfRule>
    <cfRule type="cellIs" dxfId="2866" priority="1401" operator="greaterThan">
      <formula>0.2601</formula>
    </cfRule>
    <cfRule type="cellIs" dxfId="2865" priority="1402" operator="between">
      <formula>0.2401</formula>
      <formula>0.26</formula>
    </cfRule>
    <cfRule type="cellIs" dxfId="2864" priority="1403" stopIfTrue="1" operator="between">
      <formula>0</formula>
      <formula>0.125</formula>
    </cfRule>
  </conditionalFormatting>
  <conditionalFormatting sqref="J42">
    <cfRule type="cellIs" dxfId="2863" priority="1394" operator="between">
      <formula>0.191</formula>
      <formula>0.24</formula>
    </cfRule>
    <cfRule type="cellIs" dxfId="2862" priority="1395" operator="between">
      <formula>0.1251</formula>
      <formula>0.19</formula>
    </cfRule>
    <cfRule type="cellIs" dxfId="2861" priority="1396" operator="greaterThan">
      <formula>0.2601</formula>
    </cfRule>
    <cfRule type="cellIs" dxfId="2860" priority="1397" operator="between">
      <formula>0.2401</formula>
      <formula>0.26</formula>
    </cfRule>
    <cfRule type="cellIs" dxfId="2859" priority="1398" stopIfTrue="1" operator="between">
      <formula>0</formula>
      <formula>0.125</formula>
    </cfRule>
  </conditionalFormatting>
  <conditionalFormatting sqref="J43">
    <cfRule type="cellIs" dxfId="2858" priority="1389" operator="between">
      <formula>0.191</formula>
      <formula>0.24</formula>
    </cfRule>
    <cfRule type="cellIs" dxfId="2857" priority="1390" operator="between">
      <formula>0.1251</formula>
      <formula>0.19</formula>
    </cfRule>
    <cfRule type="cellIs" dxfId="2856" priority="1391" operator="greaterThan">
      <formula>0.2601</formula>
    </cfRule>
    <cfRule type="cellIs" dxfId="2855" priority="1392" operator="between">
      <formula>0.2401</formula>
      <formula>0.26</formula>
    </cfRule>
    <cfRule type="cellIs" dxfId="2854" priority="1393" stopIfTrue="1" operator="between">
      <formula>0</formula>
      <formula>0.125</formula>
    </cfRule>
  </conditionalFormatting>
  <conditionalFormatting sqref="J44">
    <cfRule type="cellIs" dxfId="2853" priority="1384" operator="between">
      <formula>0.191</formula>
      <formula>0.24</formula>
    </cfRule>
    <cfRule type="cellIs" dxfId="2852" priority="1385" operator="between">
      <formula>0.1251</formula>
      <formula>0.19</formula>
    </cfRule>
    <cfRule type="cellIs" dxfId="2851" priority="1386" operator="greaterThan">
      <formula>0.2601</formula>
    </cfRule>
    <cfRule type="cellIs" dxfId="2850" priority="1387" operator="between">
      <formula>0.2401</formula>
      <formula>0.26</formula>
    </cfRule>
    <cfRule type="cellIs" dxfId="2849" priority="1388" stopIfTrue="1" operator="between">
      <formula>0</formula>
      <formula>0.125</formula>
    </cfRule>
  </conditionalFormatting>
  <conditionalFormatting sqref="J45">
    <cfRule type="cellIs" dxfId="2848" priority="1379" operator="between">
      <formula>0.191</formula>
      <formula>0.24</formula>
    </cfRule>
    <cfRule type="cellIs" dxfId="2847" priority="1380" operator="between">
      <formula>0.1251</formula>
      <formula>0.19</formula>
    </cfRule>
    <cfRule type="cellIs" dxfId="2846" priority="1381" operator="greaterThan">
      <formula>0.2601</formula>
    </cfRule>
    <cfRule type="cellIs" dxfId="2845" priority="1382" operator="between">
      <formula>0.2401</formula>
      <formula>0.26</formula>
    </cfRule>
    <cfRule type="cellIs" dxfId="2844" priority="1383" stopIfTrue="1" operator="between">
      <formula>0</formula>
      <formula>0.125</formula>
    </cfRule>
  </conditionalFormatting>
  <conditionalFormatting sqref="J46">
    <cfRule type="cellIs" dxfId="2843" priority="1374" operator="between">
      <formula>0.191</formula>
      <formula>0.24</formula>
    </cfRule>
    <cfRule type="cellIs" dxfId="2842" priority="1375" operator="between">
      <formula>0.1251</formula>
      <formula>0.19</formula>
    </cfRule>
    <cfRule type="cellIs" dxfId="2841" priority="1376" operator="greaterThan">
      <formula>0.2601</formula>
    </cfRule>
    <cfRule type="cellIs" dxfId="2840" priority="1377" operator="between">
      <formula>0.2401</formula>
      <formula>0.26</formula>
    </cfRule>
    <cfRule type="cellIs" dxfId="2839" priority="1378" stopIfTrue="1" operator="between">
      <formula>0</formula>
      <formula>0.125</formula>
    </cfRule>
  </conditionalFormatting>
  <conditionalFormatting sqref="J47">
    <cfRule type="cellIs" dxfId="2838" priority="1369" operator="between">
      <formula>0.191</formula>
      <formula>0.24</formula>
    </cfRule>
    <cfRule type="cellIs" dxfId="2837" priority="1370" operator="between">
      <formula>0.1251</formula>
      <formula>0.19</formula>
    </cfRule>
    <cfRule type="cellIs" dxfId="2836" priority="1371" operator="greaterThan">
      <formula>0.2601</formula>
    </cfRule>
    <cfRule type="cellIs" dxfId="2835" priority="1372" operator="between">
      <formula>0.2401</formula>
      <formula>0.26</formula>
    </cfRule>
    <cfRule type="cellIs" dxfId="2834" priority="1373" stopIfTrue="1" operator="between">
      <formula>0</formula>
      <formula>0.125</formula>
    </cfRule>
  </conditionalFormatting>
  <conditionalFormatting sqref="J48">
    <cfRule type="cellIs" dxfId="2833" priority="1364" operator="between">
      <formula>0.191</formula>
      <formula>0.24</formula>
    </cfRule>
    <cfRule type="cellIs" dxfId="2832" priority="1365" operator="between">
      <formula>0.1251</formula>
      <formula>0.19</formula>
    </cfRule>
    <cfRule type="cellIs" dxfId="2831" priority="1366" operator="greaterThan">
      <formula>0.2601</formula>
    </cfRule>
    <cfRule type="cellIs" dxfId="2830" priority="1367" operator="between">
      <formula>0.2401</formula>
      <formula>0.26</formula>
    </cfRule>
    <cfRule type="cellIs" dxfId="2829" priority="1368" stopIfTrue="1" operator="between">
      <formula>0</formula>
      <formula>0.125</formula>
    </cfRule>
  </conditionalFormatting>
  <conditionalFormatting sqref="J49">
    <cfRule type="cellIs" dxfId="2828" priority="1359" operator="between">
      <formula>0.191</formula>
      <formula>0.24</formula>
    </cfRule>
    <cfRule type="cellIs" dxfId="2827" priority="1360" operator="between">
      <formula>0.1251</formula>
      <formula>0.19</formula>
    </cfRule>
    <cfRule type="cellIs" dxfId="2826" priority="1361" operator="greaterThan">
      <formula>0.2601</formula>
    </cfRule>
    <cfRule type="cellIs" dxfId="2825" priority="1362" operator="between">
      <formula>0.2401</formula>
      <formula>0.26</formula>
    </cfRule>
    <cfRule type="cellIs" dxfId="2824" priority="1363" stopIfTrue="1" operator="between">
      <formula>0</formula>
      <formula>0.125</formula>
    </cfRule>
  </conditionalFormatting>
  <conditionalFormatting sqref="J50">
    <cfRule type="cellIs" dxfId="2823" priority="1354" operator="between">
      <formula>0.191</formula>
      <formula>0.24</formula>
    </cfRule>
    <cfRule type="cellIs" dxfId="2822" priority="1355" operator="between">
      <formula>0.1251</formula>
      <formula>0.19</formula>
    </cfRule>
    <cfRule type="cellIs" dxfId="2821" priority="1356" operator="greaterThan">
      <formula>0.2601</formula>
    </cfRule>
    <cfRule type="cellIs" dxfId="2820" priority="1357" operator="between">
      <formula>0.2401</formula>
      <formula>0.26</formula>
    </cfRule>
    <cfRule type="cellIs" dxfId="2819" priority="1358" stopIfTrue="1" operator="between">
      <formula>0</formula>
      <formula>0.125</formula>
    </cfRule>
  </conditionalFormatting>
  <conditionalFormatting sqref="J51">
    <cfRule type="cellIs" dxfId="2818" priority="1349" operator="between">
      <formula>0.191</formula>
      <formula>0.24</formula>
    </cfRule>
    <cfRule type="cellIs" dxfId="2817" priority="1350" operator="between">
      <formula>0.1251</formula>
      <formula>0.19</formula>
    </cfRule>
    <cfRule type="cellIs" dxfId="2816" priority="1351" operator="greaterThan">
      <formula>0.2601</formula>
    </cfRule>
    <cfRule type="cellIs" dxfId="2815" priority="1352" operator="between">
      <formula>0.2401</formula>
      <formula>0.26</formula>
    </cfRule>
    <cfRule type="cellIs" dxfId="2814" priority="1353" stopIfTrue="1" operator="between">
      <formula>0</formula>
      <formula>0.125</formula>
    </cfRule>
  </conditionalFormatting>
  <conditionalFormatting sqref="J52">
    <cfRule type="cellIs" dxfId="2813" priority="1344" operator="between">
      <formula>0.191</formula>
      <formula>0.24</formula>
    </cfRule>
    <cfRule type="cellIs" dxfId="2812" priority="1345" operator="between">
      <formula>0.1251</formula>
      <formula>0.19</formula>
    </cfRule>
    <cfRule type="cellIs" dxfId="2811" priority="1346" operator="greaterThan">
      <formula>0.2601</formula>
    </cfRule>
    <cfRule type="cellIs" dxfId="2810" priority="1347" operator="between">
      <formula>0.2401</formula>
      <formula>0.26</formula>
    </cfRule>
    <cfRule type="cellIs" dxfId="2809" priority="1348" stopIfTrue="1" operator="between">
      <formula>0</formula>
      <formula>0.125</formula>
    </cfRule>
  </conditionalFormatting>
  <conditionalFormatting sqref="J53">
    <cfRule type="cellIs" dxfId="2808" priority="1339" operator="between">
      <formula>0.191</formula>
      <formula>0.24</formula>
    </cfRule>
    <cfRule type="cellIs" dxfId="2807" priority="1340" operator="between">
      <formula>0.1251</formula>
      <formula>0.19</formula>
    </cfRule>
    <cfRule type="cellIs" dxfId="2806" priority="1341" operator="greaterThan">
      <formula>0.2601</formula>
    </cfRule>
    <cfRule type="cellIs" dxfId="2805" priority="1342" operator="between">
      <formula>0.2401</formula>
      <formula>0.26</formula>
    </cfRule>
    <cfRule type="cellIs" dxfId="2804" priority="1343" stopIfTrue="1" operator="between">
      <formula>0</formula>
      <formula>0.125</formula>
    </cfRule>
  </conditionalFormatting>
  <conditionalFormatting sqref="J54">
    <cfRule type="cellIs" dxfId="2803" priority="1334" operator="between">
      <formula>0.191</formula>
      <formula>0.24</formula>
    </cfRule>
    <cfRule type="cellIs" dxfId="2802" priority="1335" operator="between">
      <formula>0.1251</formula>
      <formula>0.19</formula>
    </cfRule>
    <cfRule type="cellIs" dxfId="2801" priority="1336" operator="greaterThan">
      <formula>0.2601</formula>
    </cfRule>
    <cfRule type="cellIs" dxfId="2800" priority="1337" operator="between">
      <formula>0.2401</formula>
      <formula>0.26</formula>
    </cfRule>
    <cfRule type="cellIs" dxfId="2799" priority="1338" stopIfTrue="1" operator="between">
      <formula>0</formula>
      <formula>0.125</formula>
    </cfRule>
  </conditionalFormatting>
  <conditionalFormatting sqref="J55">
    <cfRule type="cellIs" dxfId="2798" priority="1329" operator="between">
      <formula>0.191</formula>
      <formula>0.24</formula>
    </cfRule>
    <cfRule type="cellIs" dxfId="2797" priority="1330" operator="between">
      <formula>0.1251</formula>
      <formula>0.19</formula>
    </cfRule>
    <cfRule type="cellIs" dxfId="2796" priority="1331" operator="greaterThan">
      <formula>0.2601</formula>
    </cfRule>
    <cfRule type="cellIs" dxfId="2795" priority="1332" operator="between">
      <formula>0.2401</formula>
      <formula>0.26</formula>
    </cfRule>
    <cfRule type="cellIs" dxfId="2794" priority="1333" stopIfTrue="1" operator="between">
      <formula>0</formula>
      <formula>0.125</formula>
    </cfRule>
  </conditionalFormatting>
  <conditionalFormatting sqref="J56">
    <cfRule type="cellIs" dxfId="2793" priority="1324" operator="between">
      <formula>0.191</formula>
      <formula>0.24</formula>
    </cfRule>
    <cfRule type="cellIs" dxfId="2792" priority="1325" operator="between">
      <formula>0.1251</formula>
      <formula>0.19</formula>
    </cfRule>
    <cfRule type="cellIs" dxfId="2791" priority="1326" operator="greaterThan">
      <formula>0.2601</formula>
    </cfRule>
    <cfRule type="cellIs" dxfId="2790" priority="1327" operator="between">
      <formula>0.2401</formula>
      <formula>0.26</formula>
    </cfRule>
    <cfRule type="cellIs" dxfId="2789" priority="1328" stopIfTrue="1" operator="between">
      <formula>0</formula>
      <formula>0.125</formula>
    </cfRule>
  </conditionalFormatting>
  <conditionalFormatting sqref="J57">
    <cfRule type="cellIs" dxfId="2788" priority="1319" operator="between">
      <formula>0.191</formula>
      <formula>0.24</formula>
    </cfRule>
    <cfRule type="cellIs" dxfId="2787" priority="1320" operator="between">
      <formula>0.1251</formula>
      <formula>0.19</formula>
    </cfRule>
    <cfRule type="cellIs" dxfId="2786" priority="1321" operator="greaterThan">
      <formula>0.2601</formula>
    </cfRule>
    <cfRule type="cellIs" dxfId="2785" priority="1322" operator="between">
      <formula>0.2401</formula>
      <formula>0.26</formula>
    </cfRule>
    <cfRule type="cellIs" dxfId="2784" priority="1323" stopIfTrue="1" operator="between">
      <formula>0</formula>
      <formula>0.125</formula>
    </cfRule>
  </conditionalFormatting>
  <conditionalFormatting sqref="J58">
    <cfRule type="cellIs" dxfId="2783" priority="1309" operator="between">
      <formula>0.191</formula>
      <formula>0.24</formula>
    </cfRule>
    <cfRule type="cellIs" dxfId="2782" priority="1310" operator="between">
      <formula>0.1251</formula>
      <formula>0.19</formula>
    </cfRule>
    <cfRule type="cellIs" dxfId="2781" priority="1311" operator="greaterThan">
      <formula>0.2601</formula>
    </cfRule>
    <cfRule type="cellIs" dxfId="2780" priority="1312" operator="between">
      <formula>0.2401</formula>
      <formula>0.26</formula>
    </cfRule>
    <cfRule type="cellIs" dxfId="2779" priority="1313" stopIfTrue="1" operator="between">
      <formula>0</formula>
      <formula>0.125</formula>
    </cfRule>
  </conditionalFormatting>
  <conditionalFormatting sqref="J59">
    <cfRule type="cellIs" dxfId="2778" priority="1304" operator="between">
      <formula>0.191</formula>
      <formula>0.24</formula>
    </cfRule>
    <cfRule type="cellIs" dxfId="2777" priority="1305" operator="between">
      <formula>0.1251</formula>
      <formula>0.19</formula>
    </cfRule>
    <cfRule type="cellIs" dxfId="2776" priority="1306" operator="greaterThan">
      <formula>0.2601</formula>
    </cfRule>
    <cfRule type="cellIs" dxfId="2775" priority="1307" operator="between">
      <formula>0.2401</formula>
      <formula>0.26</formula>
    </cfRule>
    <cfRule type="cellIs" dxfId="2774" priority="1308" stopIfTrue="1" operator="between">
      <formula>0</formula>
      <formula>0.125</formula>
    </cfRule>
  </conditionalFormatting>
  <conditionalFormatting sqref="J60">
    <cfRule type="cellIs" dxfId="2773" priority="1299" operator="between">
      <formula>0.191</formula>
      <formula>0.24</formula>
    </cfRule>
    <cfRule type="cellIs" dxfId="2772" priority="1300" operator="between">
      <formula>0.1251</formula>
      <formula>0.19</formula>
    </cfRule>
    <cfRule type="cellIs" dxfId="2771" priority="1301" operator="greaterThan">
      <formula>0.2601</formula>
    </cfRule>
    <cfRule type="cellIs" dxfId="2770" priority="1302" operator="between">
      <formula>0.2401</formula>
      <formula>0.26</formula>
    </cfRule>
    <cfRule type="cellIs" dxfId="2769" priority="1303" stopIfTrue="1" operator="between">
      <formula>0</formula>
      <formula>0.125</formula>
    </cfRule>
  </conditionalFormatting>
  <conditionalFormatting sqref="J61">
    <cfRule type="cellIs" dxfId="2768" priority="1294" operator="between">
      <formula>0.191</formula>
      <formula>0.24</formula>
    </cfRule>
    <cfRule type="cellIs" dxfId="2767" priority="1295" operator="between">
      <formula>0.1251</formula>
      <formula>0.19</formula>
    </cfRule>
    <cfRule type="cellIs" dxfId="2766" priority="1296" operator="greaterThan">
      <formula>0.2601</formula>
    </cfRule>
    <cfRule type="cellIs" dxfId="2765" priority="1297" operator="between">
      <formula>0.2401</formula>
      <formula>0.26</formula>
    </cfRule>
    <cfRule type="cellIs" dxfId="2764" priority="1298" stopIfTrue="1" operator="between">
      <formula>0</formula>
      <formula>0.125</formula>
    </cfRule>
  </conditionalFormatting>
  <conditionalFormatting sqref="J63">
    <cfRule type="cellIs" dxfId="2763" priority="1289" operator="between">
      <formula>0.191</formula>
      <formula>0.24</formula>
    </cfRule>
    <cfRule type="cellIs" dxfId="2762" priority="1290" operator="between">
      <formula>0.1251</formula>
      <formula>0.19</formula>
    </cfRule>
    <cfRule type="cellIs" dxfId="2761" priority="1291" operator="greaterThan">
      <formula>0.2601</formula>
    </cfRule>
    <cfRule type="cellIs" dxfId="2760" priority="1292" operator="between">
      <formula>0.2401</formula>
      <formula>0.26</formula>
    </cfRule>
    <cfRule type="cellIs" dxfId="2759" priority="1293" stopIfTrue="1" operator="between">
      <formula>0</formula>
      <formula>0.125</formula>
    </cfRule>
  </conditionalFormatting>
  <conditionalFormatting sqref="J65">
    <cfRule type="cellIs" dxfId="2758" priority="1284" operator="between">
      <formula>0.191</formula>
      <formula>0.24</formula>
    </cfRule>
    <cfRule type="cellIs" dxfId="2757" priority="1285" operator="between">
      <formula>0.1251</formula>
      <formula>0.19</formula>
    </cfRule>
    <cfRule type="cellIs" dxfId="2756" priority="1286" operator="greaterThan">
      <formula>0.2601</formula>
    </cfRule>
    <cfRule type="cellIs" dxfId="2755" priority="1287" operator="between">
      <formula>0.2401</formula>
      <formula>0.26</formula>
    </cfRule>
    <cfRule type="cellIs" dxfId="2754" priority="1288" stopIfTrue="1" operator="between">
      <formula>0</formula>
      <formula>0.125</formula>
    </cfRule>
  </conditionalFormatting>
  <conditionalFormatting sqref="J67">
    <cfRule type="cellIs" dxfId="2753" priority="1274" operator="between">
      <formula>0.191</formula>
      <formula>0.24</formula>
    </cfRule>
    <cfRule type="cellIs" dxfId="2752" priority="1275" operator="between">
      <formula>0.1251</formula>
      <formula>0.19</formula>
    </cfRule>
    <cfRule type="cellIs" dxfId="2751" priority="1276" operator="greaterThan">
      <formula>0.2601</formula>
    </cfRule>
    <cfRule type="cellIs" dxfId="2750" priority="1277" operator="between">
      <formula>0.2401</formula>
      <formula>0.26</formula>
    </cfRule>
    <cfRule type="cellIs" dxfId="2749" priority="1278" stopIfTrue="1" operator="between">
      <formula>0</formula>
      <formula>0.125</formula>
    </cfRule>
  </conditionalFormatting>
  <conditionalFormatting sqref="J68">
    <cfRule type="cellIs" dxfId="2748" priority="1269" operator="between">
      <formula>0.191</formula>
      <formula>0.24</formula>
    </cfRule>
    <cfRule type="cellIs" dxfId="2747" priority="1270" operator="between">
      <formula>0.1251</formula>
      <formula>0.19</formula>
    </cfRule>
    <cfRule type="cellIs" dxfId="2746" priority="1271" operator="greaterThan">
      <formula>0.2601</formula>
    </cfRule>
    <cfRule type="cellIs" dxfId="2745" priority="1272" operator="between">
      <formula>0.2401</formula>
      <formula>0.26</formula>
    </cfRule>
    <cfRule type="cellIs" dxfId="2744" priority="1273" stopIfTrue="1" operator="between">
      <formula>0</formula>
      <formula>0.125</formula>
    </cfRule>
  </conditionalFormatting>
  <conditionalFormatting sqref="J69">
    <cfRule type="cellIs" dxfId="2743" priority="1264" operator="between">
      <formula>0.191</formula>
      <formula>0.24</formula>
    </cfRule>
    <cfRule type="cellIs" dxfId="2742" priority="1265" operator="between">
      <formula>0.1251</formula>
      <formula>0.19</formula>
    </cfRule>
    <cfRule type="cellIs" dxfId="2741" priority="1266" operator="greaterThan">
      <formula>0.2601</formula>
    </cfRule>
    <cfRule type="cellIs" dxfId="2740" priority="1267" operator="between">
      <formula>0.2401</formula>
      <formula>0.26</formula>
    </cfRule>
    <cfRule type="cellIs" dxfId="2739" priority="1268" stopIfTrue="1" operator="between">
      <formula>0</formula>
      <formula>0.125</formula>
    </cfRule>
  </conditionalFormatting>
  <conditionalFormatting sqref="J64">
    <cfRule type="cellIs" dxfId="2738" priority="1239" operator="between">
      <formula>0.191</formula>
      <formula>0.24</formula>
    </cfRule>
    <cfRule type="cellIs" dxfId="2737" priority="1240" operator="between">
      <formula>0.1251</formula>
      <formula>0.19</formula>
    </cfRule>
    <cfRule type="cellIs" dxfId="2736" priority="1241" operator="greaterThan">
      <formula>0.2601</formula>
    </cfRule>
    <cfRule type="cellIs" dxfId="2735" priority="1242" operator="between">
      <formula>0.2401</formula>
      <formula>0.26</formula>
    </cfRule>
    <cfRule type="cellIs" dxfId="2734" priority="1243" stopIfTrue="1" operator="between">
      <formula>0</formula>
      <formula>0.125</formula>
    </cfRule>
  </conditionalFormatting>
  <conditionalFormatting sqref="J70">
    <cfRule type="cellIs" dxfId="2733" priority="1234" operator="between">
      <formula>0.191</formula>
      <formula>0.24</formula>
    </cfRule>
    <cfRule type="cellIs" dxfId="2732" priority="1235" operator="between">
      <formula>0.1251</formula>
      <formula>0.19</formula>
    </cfRule>
    <cfRule type="cellIs" dxfId="2731" priority="1236" operator="greaterThan">
      <formula>0.2601</formula>
    </cfRule>
    <cfRule type="cellIs" dxfId="2730" priority="1237" operator="between">
      <formula>0.2401</formula>
      <formula>0.26</formula>
    </cfRule>
    <cfRule type="cellIs" dxfId="2729" priority="1238" stopIfTrue="1" operator="between">
      <formula>0</formula>
      <formula>0.125</formula>
    </cfRule>
  </conditionalFormatting>
  <conditionalFormatting sqref="J71">
    <cfRule type="cellIs" dxfId="2728" priority="1229" operator="between">
      <formula>0.191</formula>
      <formula>0.24</formula>
    </cfRule>
    <cfRule type="cellIs" dxfId="2727" priority="1230" operator="between">
      <formula>0.1251</formula>
      <formula>0.19</formula>
    </cfRule>
    <cfRule type="cellIs" dxfId="2726" priority="1231" operator="greaterThan">
      <formula>0.2601</formula>
    </cfRule>
    <cfRule type="cellIs" dxfId="2725" priority="1232" operator="between">
      <formula>0.2401</formula>
      <formula>0.26</formula>
    </cfRule>
    <cfRule type="cellIs" dxfId="2724" priority="1233" stopIfTrue="1" operator="between">
      <formula>0</formula>
      <formula>0.125</formula>
    </cfRule>
  </conditionalFormatting>
  <conditionalFormatting sqref="J72">
    <cfRule type="cellIs" dxfId="2723" priority="1224" operator="between">
      <formula>0.191</formula>
      <formula>0.24</formula>
    </cfRule>
    <cfRule type="cellIs" dxfId="2722" priority="1225" operator="between">
      <formula>0.1251</formula>
      <formula>0.19</formula>
    </cfRule>
    <cfRule type="cellIs" dxfId="2721" priority="1226" operator="greaterThan">
      <formula>0.2601</formula>
    </cfRule>
    <cfRule type="cellIs" dxfId="2720" priority="1227" operator="between">
      <formula>0.2401</formula>
      <formula>0.26</formula>
    </cfRule>
    <cfRule type="cellIs" dxfId="2719" priority="1228" stopIfTrue="1" operator="between">
      <formula>0</formula>
      <formula>0.125</formula>
    </cfRule>
  </conditionalFormatting>
  <conditionalFormatting sqref="J73">
    <cfRule type="cellIs" dxfId="2718" priority="1219" operator="between">
      <formula>0.191</formula>
      <formula>0.24</formula>
    </cfRule>
    <cfRule type="cellIs" dxfId="2717" priority="1220" operator="between">
      <formula>0.1251</formula>
      <formula>0.19</formula>
    </cfRule>
    <cfRule type="cellIs" dxfId="2716" priority="1221" operator="greaterThan">
      <formula>0.2601</formula>
    </cfRule>
    <cfRule type="cellIs" dxfId="2715" priority="1222" operator="between">
      <formula>0.2401</formula>
      <formula>0.26</formula>
    </cfRule>
    <cfRule type="cellIs" dxfId="2714" priority="1223" stopIfTrue="1" operator="between">
      <formula>0</formula>
      <formula>0.125</formula>
    </cfRule>
  </conditionalFormatting>
  <conditionalFormatting sqref="J74">
    <cfRule type="cellIs" dxfId="2713" priority="1214" operator="between">
      <formula>0.191</formula>
      <formula>0.24</formula>
    </cfRule>
    <cfRule type="cellIs" dxfId="2712" priority="1215" operator="between">
      <formula>0.1251</formula>
      <formula>0.19</formula>
    </cfRule>
    <cfRule type="cellIs" dxfId="2711" priority="1216" operator="greaterThan">
      <formula>0.2601</formula>
    </cfRule>
    <cfRule type="cellIs" dxfId="2710" priority="1217" operator="between">
      <formula>0.2401</formula>
      <formula>0.26</formula>
    </cfRule>
    <cfRule type="cellIs" dxfId="2709" priority="1218" stopIfTrue="1" operator="between">
      <formula>0</formula>
      <formula>0.125</formula>
    </cfRule>
  </conditionalFormatting>
  <conditionalFormatting sqref="J75">
    <cfRule type="cellIs" dxfId="2708" priority="1209" operator="between">
      <formula>0.191</formula>
      <formula>0.24</formula>
    </cfRule>
    <cfRule type="cellIs" dxfId="2707" priority="1210" operator="between">
      <formula>0.1251</formula>
      <formula>0.19</formula>
    </cfRule>
    <cfRule type="cellIs" dxfId="2706" priority="1211" operator="greaterThan">
      <formula>0.2601</formula>
    </cfRule>
    <cfRule type="cellIs" dxfId="2705" priority="1212" operator="between">
      <formula>0.2401</formula>
      <formula>0.26</formula>
    </cfRule>
    <cfRule type="cellIs" dxfId="2704" priority="1213" stopIfTrue="1" operator="between">
      <formula>0</formula>
      <formula>0.125</formula>
    </cfRule>
  </conditionalFormatting>
  <conditionalFormatting sqref="J78">
    <cfRule type="cellIs" dxfId="2703" priority="1204" operator="between">
      <formula>0.191</formula>
      <formula>0.24</formula>
    </cfRule>
    <cfRule type="cellIs" dxfId="2702" priority="1205" operator="between">
      <formula>0.1251</formula>
      <formula>0.19</formula>
    </cfRule>
    <cfRule type="cellIs" dxfId="2701" priority="1206" operator="greaterThan">
      <formula>0.2601</formula>
    </cfRule>
    <cfRule type="cellIs" dxfId="2700" priority="1207" operator="between">
      <formula>0.2401</formula>
      <formula>0.26</formula>
    </cfRule>
    <cfRule type="cellIs" dxfId="2699" priority="1208" stopIfTrue="1" operator="between">
      <formula>0</formula>
      <formula>0.125</formula>
    </cfRule>
  </conditionalFormatting>
  <conditionalFormatting sqref="J79">
    <cfRule type="cellIs" dxfId="2698" priority="1199" operator="between">
      <formula>0.191</formula>
      <formula>0.24</formula>
    </cfRule>
    <cfRule type="cellIs" dxfId="2697" priority="1200" operator="between">
      <formula>0.1251</formula>
      <formula>0.19</formula>
    </cfRule>
    <cfRule type="cellIs" dxfId="2696" priority="1201" operator="greaterThan">
      <formula>0.2601</formula>
    </cfRule>
    <cfRule type="cellIs" dxfId="2695" priority="1202" operator="between">
      <formula>0.2401</formula>
      <formula>0.26</formula>
    </cfRule>
    <cfRule type="cellIs" dxfId="2694" priority="1203" stopIfTrue="1" operator="between">
      <formula>0</formula>
      <formula>0.125</formula>
    </cfRule>
  </conditionalFormatting>
  <conditionalFormatting sqref="J80">
    <cfRule type="cellIs" dxfId="2693" priority="1194" operator="between">
      <formula>0.191</formula>
      <formula>0.24</formula>
    </cfRule>
    <cfRule type="cellIs" dxfId="2692" priority="1195" operator="between">
      <formula>0.1251</formula>
      <formula>0.19</formula>
    </cfRule>
    <cfRule type="cellIs" dxfId="2691" priority="1196" operator="greaterThan">
      <formula>0.2601</formula>
    </cfRule>
    <cfRule type="cellIs" dxfId="2690" priority="1197" operator="between">
      <formula>0.2401</formula>
      <formula>0.26</formula>
    </cfRule>
    <cfRule type="cellIs" dxfId="2689" priority="1198" stopIfTrue="1" operator="between">
      <formula>0</formula>
      <formula>0.125</formula>
    </cfRule>
  </conditionalFormatting>
  <conditionalFormatting sqref="J81">
    <cfRule type="cellIs" dxfId="2688" priority="1189" operator="between">
      <formula>0.191</formula>
      <formula>0.24</formula>
    </cfRule>
    <cfRule type="cellIs" dxfId="2687" priority="1190" operator="between">
      <formula>0.1251</formula>
      <formula>0.19</formula>
    </cfRule>
    <cfRule type="cellIs" dxfId="2686" priority="1191" operator="greaterThan">
      <formula>0.2601</formula>
    </cfRule>
    <cfRule type="cellIs" dxfId="2685" priority="1192" operator="between">
      <formula>0.2401</formula>
      <formula>0.26</formula>
    </cfRule>
    <cfRule type="cellIs" dxfId="2684" priority="1193" stopIfTrue="1" operator="between">
      <formula>0</formula>
      <formula>0.125</formula>
    </cfRule>
  </conditionalFormatting>
  <conditionalFormatting sqref="J82">
    <cfRule type="cellIs" dxfId="2683" priority="1184" operator="between">
      <formula>0.191</formula>
      <formula>0.24</formula>
    </cfRule>
    <cfRule type="cellIs" dxfId="2682" priority="1185" operator="between">
      <formula>0.1251</formula>
      <formula>0.19</formula>
    </cfRule>
    <cfRule type="cellIs" dxfId="2681" priority="1186" operator="greaterThan">
      <formula>0.2601</formula>
    </cfRule>
    <cfRule type="cellIs" dxfId="2680" priority="1187" operator="between">
      <formula>0.2401</formula>
      <formula>0.26</formula>
    </cfRule>
    <cfRule type="cellIs" dxfId="2679" priority="1188" stopIfTrue="1" operator="between">
      <formula>0</formula>
      <formula>0.125</formula>
    </cfRule>
  </conditionalFormatting>
  <conditionalFormatting sqref="J83">
    <cfRule type="cellIs" dxfId="2678" priority="1179" operator="between">
      <formula>0.191</formula>
      <formula>0.24</formula>
    </cfRule>
    <cfRule type="cellIs" dxfId="2677" priority="1180" operator="between">
      <formula>0.1251</formula>
      <formula>0.19</formula>
    </cfRule>
    <cfRule type="cellIs" dxfId="2676" priority="1181" operator="greaterThan">
      <formula>0.2601</formula>
    </cfRule>
    <cfRule type="cellIs" dxfId="2675" priority="1182" operator="between">
      <formula>0.2401</formula>
      <formula>0.26</formula>
    </cfRule>
    <cfRule type="cellIs" dxfId="2674" priority="1183" stopIfTrue="1" operator="between">
      <formula>0</formula>
      <formula>0.125</formula>
    </cfRule>
  </conditionalFormatting>
  <conditionalFormatting sqref="J88">
    <cfRule type="cellIs" dxfId="2673" priority="1174" operator="between">
      <formula>0.191</formula>
      <formula>0.24</formula>
    </cfRule>
    <cfRule type="cellIs" dxfId="2672" priority="1175" operator="between">
      <formula>0.1251</formula>
      <formula>0.19</formula>
    </cfRule>
    <cfRule type="cellIs" dxfId="2671" priority="1176" operator="greaterThan">
      <formula>0.2601</formula>
    </cfRule>
    <cfRule type="cellIs" dxfId="2670" priority="1177" operator="between">
      <formula>0.2401</formula>
      <formula>0.26</formula>
    </cfRule>
    <cfRule type="cellIs" dxfId="2669" priority="1178" stopIfTrue="1" operator="between">
      <formula>0</formula>
      <formula>0.125</formula>
    </cfRule>
  </conditionalFormatting>
  <conditionalFormatting sqref="J91">
    <cfRule type="cellIs" dxfId="2668" priority="1169" operator="between">
      <formula>0.191</formula>
      <formula>0.24</formula>
    </cfRule>
    <cfRule type="cellIs" dxfId="2667" priority="1170" operator="between">
      <formula>0.1251</formula>
      <formula>0.19</formula>
    </cfRule>
    <cfRule type="cellIs" dxfId="2666" priority="1171" operator="greaterThan">
      <formula>0.2601</formula>
    </cfRule>
    <cfRule type="cellIs" dxfId="2665" priority="1172" operator="between">
      <formula>0.2401</formula>
      <formula>0.26</formula>
    </cfRule>
    <cfRule type="cellIs" dxfId="2664" priority="1173" stopIfTrue="1" operator="between">
      <formula>0</formula>
      <formula>0.125</formula>
    </cfRule>
  </conditionalFormatting>
  <conditionalFormatting sqref="J92">
    <cfRule type="cellIs" dxfId="2663" priority="1164" operator="between">
      <formula>0.191</formula>
      <formula>0.24</formula>
    </cfRule>
    <cfRule type="cellIs" dxfId="2662" priority="1165" operator="between">
      <formula>0.1251</formula>
      <formula>0.19</formula>
    </cfRule>
    <cfRule type="cellIs" dxfId="2661" priority="1166" operator="greaterThan">
      <formula>0.2601</formula>
    </cfRule>
    <cfRule type="cellIs" dxfId="2660" priority="1167" operator="between">
      <formula>0.2401</formula>
      <formula>0.26</formula>
    </cfRule>
    <cfRule type="cellIs" dxfId="2659" priority="1168" stopIfTrue="1" operator="between">
      <formula>0</formula>
      <formula>0.125</formula>
    </cfRule>
  </conditionalFormatting>
  <conditionalFormatting sqref="J93">
    <cfRule type="cellIs" dxfId="2658" priority="1159" operator="between">
      <formula>0.191</formula>
      <formula>0.24</formula>
    </cfRule>
    <cfRule type="cellIs" dxfId="2657" priority="1160" operator="between">
      <formula>0.1251</formula>
      <formula>0.19</formula>
    </cfRule>
    <cfRule type="cellIs" dxfId="2656" priority="1161" operator="greaterThan">
      <formula>0.2601</formula>
    </cfRule>
    <cfRule type="cellIs" dxfId="2655" priority="1162" operator="between">
      <formula>0.2401</formula>
      <formula>0.26</formula>
    </cfRule>
    <cfRule type="cellIs" dxfId="2654" priority="1163" stopIfTrue="1" operator="between">
      <formula>0</formula>
      <formula>0.125</formula>
    </cfRule>
  </conditionalFormatting>
  <conditionalFormatting sqref="J94">
    <cfRule type="cellIs" dxfId="2653" priority="1154" operator="between">
      <formula>0.191</formula>
      <formula>0.24</formula>
    </cfRule>
    <cfRule type="cellIs" dxfId="2652" priority="1155" operator="between">
      <formula>0.1251</formula>
      <formula>0.19</formula>
    </cfRule>
    <cfRule type="cellIs" dxfId="2651" priority="1156" operator="greaterThan">
      <formula>0.2601</formula>
    </cfRule>
    <cfRule type="cellIs" dxfId="2650" priority="1157" operator="between">
      <formula>0.2401</formula>
      <formula>0.26</formula>
    </cfRule>
    <cfRule type="cellIs" dxfId="2649" priority="1158" stopIfTrue="1" operator="between">
      <formula>0</formula>
      <formula>0.125</formula>
    </cfRule>
  </conditionalFormatting>
  <conditionalFormatting sqref="J95">
    <cfRule type="cellIs" dxfId="2648" priority="1149" operator="between">
      <formula>0.191</formula>
      <formula>0.24</formula>
    </cfRule>
    <cfRule type="cellIs" dxfId="2647" priority="1150" operator="between">
      <formula>0.1251</formula>
      <formula>0.19</formula>
    </cfRule>
    <cfRule type="cellIs" dxfId="2646" priority="1151" operator="greaterThan">
      <formula>0.2601</formula>
    </cfRule>
    <cfRule type="cellIs" dxfId="2645" priority="1152" operator="between">
      <formula>0.2401</formula>
      <formula>0.26</formula>
    </cfRule>
    <cfRule type="cellIs" dxfId="2644" priority="1153" stopIfTrue="1" operator="between">
      <formula>0</formula>
      <formula>0.125</formula>
    </cfRule>
  </conditionalFormatting>
  <conditionalFormatting sqref="J96">
    <cfRule type="cellIs" dxfId="2643" priority="1144" operator="between">
      <formula>0.191</formula>
      <formula>0.24</formula>
    </cfRule>
    <cfRule type="cellIs" dxfId="2642" priority="1145" operator="between">
      <formula>0.1251</formula>
      <formula>0.19</formula>
    </cfRule>
    <cfRule type="cellIs" dxfId="2641" priority="1146" operator="greaterThan">
      <formula>0.2601</formula>
    </cfRule>
    <cfRule type="cellIs" dxfId="2640" priority="1147" operator="between">
      <formula>0.2401</formula>
      <formula>0.26</formula>
    </cfRule>
    <cfRule type="cellIs" dxfId="2639" priority="1148" stopIfTrue="1" operator="between">
      <formula>0</formula>
      <formula>0.125</formula>
    </cfRule>
  </conditionalFormatting>
  <conditionalFormatting sqref="J98">
    <cfRule type="cellIs" dxfId="2638" priority="1139" operator="between">
      <formula>0.191</formula>
      <formula>0.24</formula>
    </cfRule>
    <cfRule type="cellIs" dxfId="2637" priority="1140" operator="between">
      <formula>0.1251</formula>
      <formula>0.19</formula>
    </cfRule>
    <cfRule type="cellIs" dxfId="2636" priority="1141" operator="greaterThan">
      <formula>0.2601</formula>
    </cfRule>
    <cfRule type="cellIs" dxfId="2635" priority="1142" operator="between">
      <formula>0.2401</formula>
      <formula>0.26</formula>
    </cfRule>
    <cfRule type="cellIs" dxfId="2634" priority="1143" stopIfTrue="1" operator="between">
      <formula>0</formula>
      <formula>0.125</formula>
    </cfRule>
  </conditionalFormatting>
  <conditionalFormatting sqref="J99">
    <cfRule type="cellIs" dxfId="2633" priority="1134" operator="between">
      <formula>0.191</formula>
      <formula>0.24</formula>
    </cfRule>
    <cfRule type="cellIs" dxfId="2632" priority="1135" operator="between">
      <formula>0.1251</formula>
      <formula>0.19</formula>
    </cfRule>
    <cfRule type="cellIs" dxfId="2631" priority="1136" operator="greaterThan">
      <formula>0.2601</formula>
    </cfRule>
    <cfRule type="cellIs" dxfId="2630" priority="1137" operator="between">
      <formula>0.2401</formula>
      <formula>0.26</formula>
    </cfRule>
    <cfRule type="cellIs" dxfId="2629" priority="1138" stopIfTrue="1" operator="between">
      <formula>0</formula>
      <formula>0.125</formula>
    </cfRule>
  </conditionalFormatting>
  <conditionalFormatting sqref="J101">
    <cfRule type="cellIs" dxfId="2628" priority="1124" operator="between">
      <formula>0.191</formula>
      <formula>0.24</formula>
    </cfRule>
    <cfRule type="cellIs" dxfId="2627" priority="1125" operator="between">
      <formula>0.1251</formula>
      <formula>0.19</formula>
    </cfRule>
    <cfRule type="cellIs" dxfId="2626" priority="1126" operator="greaterThan">
      <formula>0.2601</formula>
    </cfRule>
    <cfRule type="cellIs" dxfId="2625" priority="1127" operator="between">
      <formula>0.2401</formula>
      <formula>0.26</formula>
    </cfRule>
    <cfRule type="cellIs" dxfId="2624" priority="1128" stopIfTrue="1" operator="between">
      <formula>0</formula>
      <formula>0.125</formula>
    </cfRule>
  </conditionalFormatting>
  <conditionalFormatting sqref="J103:J104">
    <cfRule type="cellIs" dxfId="2623" priority="1104" operator="between">
      <formula>0.191</formula>
      <formula>0.24</formula>
    </cfRule>
    <cfRule type="cellIs" dxfId="2622" priority="1105" operator="between">
      <formula>0.1251</formula>
      <formula>0.19</formula>
    </cfRule>
    <cfRule type="cellIs" dxfId="2621" priority="1106" operator="greaterThan">
      <formula>0.2601</formula>
    </cfRule>
    <cfRule type="cellIs" dxfId="2620" priority="1107" operator="between">
      <formula>0.2401</formula>
      <formula>0.26</formula>
    </cfRule>
    <cfRule type="cellIs" dxfId="2619" priority="1108" stopIfTrue="1" operator="between">
      <formula>0</formula>
      <formula>0.125</formula>
    </cfRule>
  </conditionalFormatting>
  <conditionalFormatting sqref="J105">
    <cfRule type="cellIs" dxfId="2618" priority="1099" operator="between">
      <formula>0.191</formula>
      <formula>0.24</formula>
    </cfRule>
    <cfRule type="cellIs" dxfId="2617" priority="1100" operator="between">
      <formula>0.1251</formula>
      <formula>0.19</formula>
    </cfRule>
    <cfRule type="cellIs" dxfId="2616" priority="1101" operator="greaterThan">
      <formula>0.2601</formula>
    </cfRule>
    <cfRule type="cellIs" dxfId="2615" priority="1102" operator="between">
      <formula>0.2401</formula>
      <formula>0.26</formula>
    </cfRule>
    <cfRule type="cellIs" dxfId="2614" priority="1103" stopIfTrue="1" operator="between">
      <formula>0</formula>
      <formula>0.125</formula>
    </cfRule>
  </conditionalFormatting>
  <conditionalFormatting sqref="J106">
    <cfRule type="cellIs" dxfId="2613" priority="1094" operator="between">
      <formula>0.191</formula>
      <formula>0.24</formula>
    </cfRule>
    <cfRule type="cellIs" dxfId="2612" priority="1095" operator="between">
      <formula>0.1251</formula>
      <formula>0.19</formula>
    </cfRule>
    <cfRule type="cellIs" dxfId="2611" priority="1096" operator="greaterThan">
      <formula>0.2601</formula>
    </cfRule>
    <cfRule type="cellIs" dxfId="2610" priority="1097" operator="between">
      <formula>0.2401</formula>
      <formula>0.26</formula>
    </cfRule>
    <cfRule type="cellIs" dxfId="2609" priority="1098" stopIfTrue="1" operator="between">
      <formula>0</formula>
      <formula>0.125</formula>
    </cfRule>
  </conditionalFormatting>
  <conditionalFormatting sqref="J107">
    <cfRule type="cellIs" dxfId="2608" priority="1089" operator="between">
      <formula>0.191</formula>
      <formula>0.24</formula>
    </cfRule>
    <cfRule type="cellIs" dxfId="2607" priority="1090" operator="between">
      <formula>0.1251</formula>
      <formula>0.19</formula>
    </cfRule>
    <cfRule type="cellIs" dxfId="2606" priority="1091" operator="greaterThan">
      <formula>0.2601</formula>
    </cfRule>
    <cfRule type="cellIs" dxfId="2605" priority="1092" operator="between">
      <formula>0.2401</formula>
      <formula>0.26</formula>
    </cfRule>
    <cfRule type="cellIs" dxfId="2604" priority="1093" stopIfTrue="1" operator="between">
      <formula>0</formula>
      <formula>0.125</formula>
    </cfRule>
  </conditionalFormatting>
  <conditionalFormatting sqref="J108">
    <cfRule type="cellIs" dxfId="2603" priority="1084" operator="between">
      <formula>0.191</formula>
      <formula>0.24</formula>
    </cfRule>
    <cfRule type="cellIs" dxfId="2602" priority="1085" operator="between">
      <formula>0.1251</formula>
      <formula>0.19</formula>
    </cfRule>
    <cfRule type="cellIs" dxfId="2601" priority="1086" operator="greaterThan">
      <formula>0.2601</formula>
    </cfRule>
    <cfRule type="cellIs" dxfId="2600" priority="1087" operator="between">
      <formula>0.2401</formula>
      <formula>0.26</formula>
    </cfRule>
    <cfRule type="cellIs" dxfId="2599" priority="1088" stopIfTrue="1" operator="between">
      <formula>0</formula>
      <formula>0.125</formula>
    </cfRule>
  </conditionalFormatting>
  <conditionalFormatting sqref="J109">
    <cfRule type="cellIs" dxfId="2598" priority="1079" operator="between">
      <formula>0.191</formula>
      <formula>0.24</formula>
    </cfRule>
    <cfRule type="cellIs" dxfId="2597" priority="1080" operator="between">
      <formula>0.1251</formula>
      <formula>0.19</formula>
    </cfRule>
    <cfRule type="cellIs" dxfId="2596" priority="1081" operator="greaterThan">
      <formula>0.2601</formula>
    </cfRule>
    <cfRule type="cellIs" dxfId="2595" priority="1082" operator="between">
      <formula>0.2401</formula>
      <formula>0.26</formula>
    </cfRule>
    <cfRule type="cellIs" dxfId="2594" priority="1083" stopIfTrue="1" operator="between">
      <formula>0</formula>
      <formula>0.125</formula>
    </cfRule>
  </conditionalFormatting>
  <conditionalFormatting sqref="J111">
    <cfRule type="cellIs" dxfId="2593" priority="1074" operator="between">
      <formula>0.191</formula>
      <formula>0.24</formula>
    </cfRule>
    <cfRule type="cellIs" dxfId="2592" priority="1075" operator="between">
      <formula>0.1251</formula>
      <formula>0.19</formula>
    </cfRule>
    <cfRule type="cellIs" dxfId="2591" priority="1076" operator="greaterThan">
      <formula>0.2601</formula>
    </cfRule>
    <cfRule type="cellIs" dxfId="2590" priority="1077" operator="between">
      <formula>0.2401</formula>
      <formula>0.26</formula>
    </cfRule>
    <cfRule type="cellIs" dxfId="2589" priority="1078" stopIfTrue="1" operator="between">
      <formula>0</formula>
      <formula>0.125</formula>
    </cfRule>
  </conditionalFormatting>
  <conditionalFormatting sqref="J110">
    <cfRule type="cellIs" dxfId="2588" priority="1069" operator="between">
      <formula>0.191</formula>
      <formula>0.24</formula>
    </cfRule>
    <cfRule type="cellIs" dxfId="2587" priority="1070" operator="between">
      <formula>0.1251</formula>
      <formula>0.19</formula>
    </cfRule>
    <cfRule type="cellIs" dxfId="2586" priority="1071" operator="greaterThan">
      <formula>0.2601</formula>
    </cfRule>
    <cfRule type="cellIs" dxfId="2585" priority="1072" operator="between">
      <formula>0.2401</formula>
      <formula>0.26</formula>
    </cfRule>
    <cfRule type="cellIs" dxfId="2584" priority="1073" stopIfTrue="1" operator="between">
      <formula>0</formula>
      <formula>0.125</formula>
    </cfRule>
  </conditionalFormatting>
  <conditionalFormatting sqref="J112">
    <cfRule type="cellIs" dxfId="2583" priority="1064" operator="between">
      <formula>0.191</formula>
      <formula>0.24</formula>
    </cfRule>
    <cfRule type="cellIs" dxfId="2582" priority="1065" operator="between">
      <formula>0.1251</formula>
      <formula>0.19</formula>
    </cfRule>
    <cfRule type="cellIs" dxfId="2581" priority="1066" operator="greaterThan">
      <formula>0.2601</formula>
    </cfRule>
    <cfRule type="cellIs" dxfId="2580" priority="1067" operator="between">
      <formula>0.2401</formula>
      <formula>0.26</formula>
    </cfRule>
    <cfRule type="cellIs" dxfId="2579" priority="1068" stopIfTrue="1" operator="between">
      <formula>0</formula>
      <formula>0.125</formula>
    </cfRule>
  </conditionalFormatting>
  <conditionalFormatting sqref="J113">
    <cfRule type="cellIs" dxfId="2578" priority="1059" operator="between">
      <formula>0.191</formula>
      <formula>0.24</formula>
    </cfRule>
    <cfRule type="cellIs" dxfId="2577" priority="1060" operator="between">
      <formula>0.1251</formula>
      <formula>0.19</formula>
    </cfRule>
    <cfRule type="cellIs" dxfId="2576" priority="1061" operator="greaterThan">
      <formula>0.2601</formula>
    </cfRule>
    <cfRule type="cellIs" dxfId="2575" priority="1062" operator="between">
      <formula>0.2401</formula>
      <formula>0.26</formula>
    </cfRule>
    <cfRule type="cellIs" dxfId="2574" priority="1063" stopIfTrue="1" operator="between">
      <formula>0</formula>
      <formula>0.125</formula>
    </cfRule>
  </conditionalFormatting>
  <conditionalFormatting sqref="J114">
    <cfRule type="cellIs" dxfId="2573" priority="1054" operator="between">
      <formula>0.191</formula>
      <formula>0.24</formula>
    </cfRule>
    <cfRule type="cellIs" dxfId="2572" priority="1055" operator="between">
      <formula>0.1251</formula>
      <formula>0.19</formula>
    </cfRule>
    <cfRule type="cellIs" dxfId="2571" priority="1056" operator="greaterThan">
      <formula>0.2601</formula>
    </cfRule>
    <cfRule type="cellIs" dxfId="2570" priority="1057" operator="between">
      <formula>0.2401</formula>
      <formula>0.26</formula>
    </cfRule>
    <cfRule type="cellIs" dxfId="2569" priority="1058" stopIfTrue="1" operator="between">
      <formula>0</formula>
      <formula>0.125</formula>
    </cfRule>
  </conditionalFormatting>
  <conditionalFormatting sqref="J115">
    <cfRule type="cellIs" dxfId="2568" priority="1049" operator="between">
      <formula>0.191</formula>
      <formula>0.24</formula>
    </cfRule>
    <cfRule type="cellIs" dxfId="2567" priority="1050" operator="between">
      <formula>0.1251</formula>
      <formula>0.19</formula>
    </cfRule>
    <cfRule type="cellIs" dxfId="2566" priority="1051" operator="greaterThan">
      <formula>0.2601</formula>
    </cfRule>
    <cfRule type="cellIs" dxfId="2565" priority="1052" operator="between">
      <formula>0.2401</formula>
      <formula>0.26</formula>
    </cfRule>
    <cfRule type="cellIs" dxfId="2564" priority="1053" stopIfTrue="1" operator="between">
      <formula>0</formula>
      <formula>0.125</formula>
    </cfRule>
  </conditionalFormatting>
  <conditionalFormatting sqref="J116">
    <cfRule type="cellIs" dxfId="2563" priority="1044" operator="between">
      <formula>0.191</formula>
      <formula>0.24</formula>
    </cfRule>
    <cfRule type="cellIs" dxfId="2562" priority="1045" operator="between">
      <formula>0.1251</formula>
      <formula>0.19</formula>
    </cfRule>
    <cfRule type="cellIs" dxfId="2561" priority="1046" operator="greaterThan">
      <formula>0.2601</formula>
    </cfRule>
    <cfRule type="cellIs" dxfId="2560" priority="1047" operator="between">
      <formula>0.2401</formula>
      <formula>0.26</formula>
    </cfRule>
    <cfRule type="cellIs" dxfId="2559" priority="1048" stopIfTrue="1" operator="between">
      <formula>0</formula>
      <formula>0.125</formula>
    </cfRule>
  </conditionalFormatting>
  <conditionalFormatting sqref="J117">
    <cfRule type="cellIs" dxfId="2558" priority="1039" operator="between">
      <formula>0.191</formula>
      <formula>0.24</formula>
    </cfRule>
    <cfRule type="cellIs" dxfId="2557" priority="1040" operator="between">
      <formula>0.1251</formula>
      <formula>0.19</formula>
    </cfRule>
    <cfRule type="cellIs" dxfId="2556" priority="1041" operator="greaterThan">
      <formula>0.2601</formula>
    </cfRule>
    <cfRule type="cellIs" dxfId="2555" priority="1042" operator="between">
      <formula>0.2401</formula>
      <formula>0.26</formula>
    </cfRule>
    <cfRule type="cellIs" dxfId="2554" priority="1043" stopIfTrue="1" operator="between">
      <formula>0</formula>
      <formula>0.125</formula>
    </cfRule>
  </conditionalFormatting>
  <conditionalFormatting sqref="J118">
    <cfRule type="cellIs" dxfId="2553" priority="1034" operator="between">
      <formula>0.191</formula>
      <formula>0.24</formula>
    </cfRule>
    <cfRule type="cellIs" dxfId="2552" priority="1035" operator="between">
      <formula>0.1251</formula>
      <formula>0.19</formula>
    </cfRule>
    <cfRule type="cellIs" dxfId="2551" priority="1036" operator="greaterThan">
      <formula>0.2601</formula>
    </cfRule>
    <cfRule type="cellIs" dxfId="2550" priority="1037" operator="between">
      <formula>0.2401</formula>
      <formula>0.26</formula>
    </cfRule>
    <cfRule type="cellIs" dxfId="2549" priority="1038" stopIfTrue="1" operator="between">
      <formula>0</formula>
      <formula>0.125</formula>
    </cfRule>
  </conditionalFormatting>
  <conditionalFormatting sqref="J119">
    <cfRule type="cellIs" dxfId="2548" priority="1029" operator="between">
      <formula>0.191</formula>
      <formula>0.24</formula>
    </cfRule>
    <cfRule type="cellIs" dxfId="2547" priority="1030" operator="between">
      <formula>0.1251</formula>
      <formula>0.19</formula>
    </cfRule>
    <cfRule type="cellIs" dxfId="2546" priority="1031" operator="greaterThan">
      <formula>0.2601</formula>
    </cfRule>
    <cfRule type="cellIs" dxfId="2545" priority="1032" operator="between">
      <formula>0.2401</formula>
      <formula>0.26</formula>
    </cfRule>
    <cfRule type="cellIs" dxfId="2544" priority="1033" stopIfTrue="1" operator="between">
      <formula>0</formula>
      <formula>0.125</formula>
    </cfRule>
  </conditionalFormatting>
  <conditionalFormatting sqref="J120">
    <cfRule type="cellIs" dxfId="2543" priority="1024" operator="between">
      <formula>0.191</formula>
      <formula>0.24</formula>
    </cfRule>
    <cfRule type="cellIs" dxfId="2542" priority="1025" operator="between">
      <formula>0.1251</formula>
      <formula>0.19</formula>
    </cfRule>
    <cfRule type="cellIs" dxfId="2541" priority="1026" operator="greaterThan">
      <formula>0.2601</formula>
    </cfRule>
    <cfRule type="cellIs" dxfId="2540" priority="1027" operator="between">
      <formula>0.2401</formula>
      <formula>0.26</formula>
    </cfRule>
    <cfRule type="cellIs" dxfId="2539" priority="1028" stopIfTrue="1" operator="between">
      <formula>0</formula>
      <formula>0.125</formula>
    </cfRule>
  </conditionalFormatting>
  <conditionalFormatting sqref="J121">
    <cfRule type="cellIs" dxfId="2538" priority="1019" operator="between">
      <formula>0.191</formula>
      <formula>0.24</formula>
    </cfRule>
    <cfRule type="cellIs" dxfId="2537" priority="1020" operator="between">
      <formula>0.1251</formula>
      <formula>0.19</formula>
    </cfRule>
    <cfRule type="cellIs" dxfId="2536" priority="1021" operator="greaterThan">
      <formula>0.2601</formula>
    </cfRule>
    <cfRule type="cellIs" dxfId="2535" priority="1022" operator="between">
      <formula>0.2401</formula>
      <formula>0.26</formula>
    </cfRule>
    <cfRule type="cellIs" dxfId="2534" priority="1023" stopIfTrue="1" operator="between">
      <formula>0</formula>
      <formula>0.125</formula>
    </cfRule>
  </conditionalFormatting>
  <conditionalFormatting sqref="J122">
    <cfRule type="cellIs" dxfId="2533" priority="1014" operator="between">
      <formula>0.191</formula>
      <formula>0.24</formula>
    </cfRule>
    <cfRule type="cellIs" dxfId="2532" priority="1015" operator="between">
      <formula>0.1251</formula>
      <formula>0.19</formula>
    </cfRule>
    <cfRule type="cellIs" dxfId="2531" priority="1016" operator="greaterThan">
      <formula>0.2601</formula>
    </cfRule>
    <cfRule type="cellIs" dxfId="2530" priority="1017" operator="between">
      <formula>0.2401</formula>
      <formula>0.26</formula>
    </cfRule>
    <cfRule type="cellIs" dxfId="2529" priority="1018" stopIfTrue="1" operator="between">
      <formula>0</formula>
      <formula>0.125</formula>
    </cfRule>
  </conditionalFormatting>
  <conditionalFormatting sqref="J123">
    <cfRule type="cellIs" dxfId="2528" priority="1009" operator="between">
      <formula>0.191</formula>
      <formula>0.24</formula>
    </cfRule>
    <cfRule type="cellIs" dxfId="2527" priority="1010" operator="between">
      <formula>0.1251</formula>
      <formula>0.19</formula>
    </cfRule>
    <cfRule type="cellIs" dxfId="2526" priority="1011" operator="greaterThan">
      <formula>0.2601</formula>
    </cfRule>
    <cfRule type="cellIs" dxfId="2525" priority="1012" operator="between">
      <formula>0.2401</formula>
      <formula>0.26</formula>
    </cfRule>
    <cfRule type="cellIs" dxfId="2524" priority="1013" stopIfTrue="1" operator="between">
      <formula>0</formula>
      <formula>0.125</formula>
    </cfRule>
  </conditionalFormatting>
  <conditionalFormatting sqref="J124">
    <cfRule type="cellIs" dxfId="2523" priority="1004" operator="between">
      <formula>0.191</formula>
      <formula>0.24</formula>
    </cfRule>
    <cfRule type="cellIs" dxfId="2522" priority="1005" operator="between">
      <formula>0.1251</formula>
      <formula>0.19</formula>
    </cfRule>
    <cfRule type="cellIs" dxfId="2521" priority="1006" operator="greaterThan">
      <formula>0.2601</formula>
    </cfRule>
    <cfRule type="cellIs" dxfId="2520" priority="1007" operator="between">
      <formula>0.2401</formula>
      <formula>0.26</formula>
    </cfRule>
    <cfRule type="cellIs" dxfId="2519" priority="1008" stopIfTrue="1" operator="between">
      <formula>0</formula>
      <formula>0.125</formula>
    </cfRule>
  </conditionalFormatting>
  <conditionalFormatting sqref="J125">
    <cfRule type="cellIs" dxfId="2518" priority="999" operator="between">
      <formula>0.191</formula>
      <formula>0.24</formula>
    </cfRule>
    <cfRule type="cellIs" dxfId="2517" priority="1000" operator="between">
      <formula>0.1251</formula>
      <formula>0.19</formula>
    </cfRule>
    <cfRule type="cellIs" dxfId="2516" priority="1001" operator="greaterThan">
      <formula>0.2601</formula>
    </cfRule>
    <cfRule type="cellIs" dxfId="2515" priority="1002" operator="between">
      <formula>0.2401</formula>
      <formula>0.26</formula>
    </cfRule>
    <cfRule type="cellIs" dxfId="2514" priority="1003" stopIfTrue="1" operator="between">
      <formula>0</formula>
      <formula>0.125</formula>
    </cfRule>
  </conditionalFormatting>
  <conditionalFormatting sqref="J126">
    <cfRule type="cellIs" dxfId="2513" priority="994" operator="between">
      <formula>0.191</formula>
      <formula>0.24</formula>
    </cfRule>
    <cfRule type="cellIs" dxfId="2512" priority="995" operator="between">
      <formula>0.1251</formula>
      <formula>0.19</formula>
    </cfRule>
    <cfRule type="cellIs" dxfId="2511" priority="996" operator="greaterThan">
      <formula>0.2601</formula>
    </cfRule>
    <cfRule type="cellIs" dxfId="2510" priority="997" operator="between">
      <formula>0.2401</formula>
      <formula>0.26</formula>
    </cfRule>
    <cfRule type="cellIs" dxfId="2509" priority="998" stopIfTrue="1" operator="between">
      <formula>0</formula>
      <formula>0.125</formula>
    </cfRule>
  </conditionalFormatting>
  <conditionalFormatting sqref="J127">
    <cfRule type="cellIs" dxfId="2508" priority="989" operator="between">
      <formula>0.191</formula>
      <formula>0.24</formula>
    </cfRule>
    <cfRule type="cellIs" dxfId="2507" priority="990" operator="between">
      <formula>0.1251</formula>
      <formula>0.19</formula>
    </cfRule>
    <cfRule type="cellIs" dxfId="2506" priority="991" operator="greaterThan">
      <formula>0.2601</formula>
    </cfRule>
    <cfRule type="cellIs" dxfId="2505" priority="992" operator="between">
      <formula>0.2401</formula>
      <formula>0.26</formula>
    </cfRule>
    <cfRule type="cellIs" dxfId="2504" priority="993" stopIfTrue="1" operator="between">
      <formula>0</formula>
      <formula>0.125</formula>
    </cfRule>
  </conditionalFormatting>
  <conditionalFormatting sqref="J128">
    <cfRule type="cellIs" dxfId="2503" priority="984" operator="between">
      <formula>0.191</formula>
      <formula>0.24</formula>
    </cfRule>
    <cfRule type="cellIs" dxfId="2502" priority="985" operator="between">
      <formula>0.1251</formula>
      <formula>0.19</formula>
    </cfRule>
    <cfRule type="cellIs" dxfId="2501" priority="986" operator="greaterThan">
      <formula>0.2601</formula>
    </cfRule>
    <cfRule type="cellIs" dxfId="2500" priority="987" operator="between">
      <formula>0.2401</formula>
      <formula>0.26</formula>
    </cfRule>
    <cfRule type="cellIs" dxfId="2499" priority="988" stopIfTrue="1" operator="between">
      <formula>0</formula>
      <formula>0.125</formula>
    </cfRule>
  </conditionalFormatting>
  <conditionalFormatting sqref="J129">
    <cfRule type="cellIs" dxfId="2498" priority="979" operator="between">
      <formula>0.191</formula>
      <formula>0.24</formula>
    </cfRule>
    <cfRule type="cellIs" dxfId="2497" priority="980" operator="between">
      <formula>0.1251</formula>
      <formula>0.19</formula>
    </cfRule>
    <cfRule type="cellIs" dxfId="2496" priority="981" operator="greaterThan">
      <formula>0.2601</formula>
    </cfRule>
    <cfRule type="cellIs" dxfId="2495" priority="982" operator="between">
      <formula>0.2401</formula>
      <formula>0.26</formula>
    </cfRule>
    <cfRule type="cellIs" dxfId="2494" priority="983" stopIfTrue="1" operator="between">
      <formula>0</formula>
      <formula>0.125</formula>
    </cfRule>
  </conditionalFormatting>
  <conditionalFormatting sqref="J130">
    <cfRule type="cellIs" dxfId="2493" priority="974" operator="between">
      <formula>0.191</formula>
      <formula>0.24</formula>
    </cfRule>
    <cfRule type="cellIs" dxfId="2492" priority="975" operator="between">
      <formula>0.1251</formula>
      <formula>0.19</formula>
    </cfRule>
    <cfRule type="cellIs" dxfId="2491" priority="976" operator="greaterThan">
      <formula>0.2601</formula>
    </cfRule>
    <cfRule type="cellIs" dxfId="2490" priority="977" operator="between">
      <formula>0.2401</formula>
      <formula>0.26</formula>
    </cfRule>
    <cfRule type="cellIs" dxfId="2489" priority="978" stopIfTrue="1" operator="between">
      <formula>0</formula>
      <formula>0.125</formula>
    </cfRule>
  </conditionalFormatting>
  <conditionalFormatting sqref="J131">
    <cfRule type="cellIs" dxfId="2488" priority="969" operator="between">
      <formula>0.191</formula>
      <formula>0.24</formula>
    </cfRule>
    <cfRule type="cellIs" dxfId="2487" priority="970" operator="between">
      <formula>0.1251</formula>
      <formula>0.19</formula>
    </cfRule>
    <cfRule type="cellIs" dxfId="2486" priority="971" operator="greaterThan">
      <formula>0.2601</formula>
    </cfRule>
    <cfRule type="cellIs" dxfId="2485" priority="972" operator="between">
      <formula>0.2401</formula>
      <formula>0.26</formula>
    </cfRule>
    <cfRule type="cellIs" dxfId="2484" priority="973" stopIfTrue="1" operator="between">
      <formula>0</formula>
      <formula>0.125</formula>
    </cfRule>
  </conditionalFormatting>
  <conditionalFormatting sqref="J132">
    <cfRule type="cellIs" dxfId="2483" priority="964" operator="between">
      <formula>0.191</formula>
      <formula>0.24</formula>
    </cfRule>
    <cfRule type="cellIs" dxfId="2482" priority="965" operator="between">
      <formula>0.1251</formula>
      <formula>0.19</formula>
    </cfRule>
    <cfRule type="cellIs" dxfId="2481" priority="966" operator="greaterThan">
      <formula>0.2601</formula>
    </cfRule>
    <cfRule type="cellIs" dxfId="2480" priority="967" operator="between">
      <formula>0.2401</formula>
      <formula>0.26</formula>
    </cfRule>
    <cfRule type="cellIs" dxfId="2479" priority="968" stopIfTrue="1" operator="between">
      <formula>0</formula>
      <formula>0.125</formula>
    </cfRule>
  </conditionalFormatting>
  <conditionalFormatting sqref="J133">
    <cfRule type="cellIs" dxfId="2478" priority="959" operator="between">
      <formula>0.191</formula>
      <formula>0.24</formula>
    </cfRule>
    <cfRule type="cellIs" dxfId="2477" priority="960" operator="between">
      <formula>0.1251</formula>
      <formula>0.19</formula>
    </cfRule>
    <cfRule type="cellIs" dxfId="2476" priority="961" operator="greaterThan">
      <formula>0.2601</formula>
    </cfRule>
    <cfRule type="cellIs" dxfId="2475" priority="962" operator="between">
      <formula>0.2401</formula>
      <formula>0.26</formula>
    </cfRule>
    <cfRule type="cellIs" dxfId="2474" priority="963" stopIfTrue="1" operator="between">
      <formula>0</formula>
      <formula>0.125</formula>
    </cfRule>
  </conditionalFormatting>
  <conditionalFormatting sqref="J134">
    <cfRule type="cellIs" dxfId="2473" priority="954" operator="between">
      <formula>0.191</formula>
      <formula>0.24</formula>
    </cfRule>
    <cfRule type="cellIs" dxfId="2472" priority="955" operator="between">
      <formula>0.1251</formula>
      <formula>0.19</formula>
    </cfRule>
    <cfRule type="cellIs" dxfId="2471" priority="956" operator="greaterThan">
      <formula>0.2601</formula>
    </cfRule>
    <cfRule type="cellIs" dxfId="2470" priority="957" operator="between">
      <formula>0.2401</formula>
      <formula>0.26</formula>
    </cfRule>
    <cfRule type="cellIs" dxfId="2469" priority="958" stopIfTrue="1" operator="between">
      <formula>0</formula>
      <formula>0.125</formula>
    </cfRule>
  </conditionalFormatting>
  <conditionalFormatting sqref="J136">
    <cfRule type="cellIs" dxfId="2468" priority="949" operator="between">
      <formula>0.191</formula>
      <formula>0.24</formula>
    </cfRule>
    <cfRule type="cellIs" dxfId="2467" priority="950" operator="between">
      <formula>0.1251</formula>
      <formula>0.19</formula>
    </cfRule>
    <cfRule type="cellIs" dxfId="2466" priority="951" operator="greaterThan">
      <formula>0.2601</formula>
    </cfRule>
    <cfRule type="cellIs" dxfId="2465" priority="952" operator="between">
      <formula>0.2401</formula>
      <formula>0.26</formula>
    </cfRule>
    <cfRule type="cellIs" dxfId="2464" priority="953" stopIfTrue="1" operator="between">
      <formula>0</formula>
      <formula>0.125</formula>
    </cfRule>
  </conditionalFormatting>
  <conditionalFormatting sqref="J137">
    <cfRule type="cellIs" dxfId="2463" priority="944" operator="between">
      <formula>0.191</formula>
      <formula>0.24</formula>
    </cfRule>
    <cfRule type="cellIs" dxfId="2462" priority="945" operator="between">
      <formula>0.1251</formula>
      <formula>0.19</formula>
    </cfRule>
    <cfRule type="cellIs" dxfId="2461" priority="946" operator="greaterThan">
      <formula>0.2601</formula>
    </cfRule>
    <cfRule type="cellIs" dxfId="2460" priority="947" operator="between">
      <formula>0.2401</formula>
      <formula>0.26</formula>
    </cfRule>
    <cfRule type="cellIs" dxfId="2459" priority="948" stopIfTrue="1" operator="between">
      <formula>0</formula>
      <formula>0.125</formula>
    </cfRule>
  </conditionalFormatting>
  <conditionalFormatting sqref="J138">
    <cfRule type="cellIs" dxfId="2458" priority="939" operator="between">
      <formula>0.191</formula>
      <formula>0.24</formula>
    </cfRule>
    <cfRule type="cellIs" dxfId="2457" priority="940" operator="between">
      <formula>0.1251</formula>
      <formula>0.19</formula>
    </cfRule>
    <cfRule type="cellIs" dxfId="2456" priority="941" operator="greaterThan">
      <formula>0.2601</formula>
    </cfRule>
    <cfRule type="cellIs" dxfId="2455" priority="942" operator="between">
      <formula>0.2401</formula>
      <formula>0.26</formula>
    </cfRule>
    <cfRule type="cellIs" dxfId="2454" priority="943" stopIfTrue="1" operator="between">
      <formula>0</formula>
      <formula>0.125</formula>
    </cfRule>
  </conditionalFormatting>
  <conditionalFormatting sqref="J139">
    <cfRule type="cellIs" dxfId="2453" priority="934" operator="between">
      <formula>0.191</formula>
      <formula>0.24</formula>
    </cfRule>
    <cfRule type="cellIs" dxfId="2452" priority="935" operator="between">
      <formula>0.1251</formula>
      <formula>0.19</formula>
    </cfRule>
    <cfRule type="cellIs" dxfId="2451" priority="936" operator="greaterThan">
      <formula>0.2601</formula>
    </cfRule>
    <cfRule type="cellIs" dxfId="2450" priority="937" operator="between">
      <formula>0.2401</formula>
      <formula>0.26</formula>
    </cfRule>
    <cfRule type="cellIs" dxfId="2449" priority="938" stopIfTrue="1" operator="between">
      <formula>0</formula>
      <formula>0.125</formula>
    </cfRule>
  </conditionalFormatting>
  <conditionalFormatting sqref="J141">
    <cfRule type="cellIs" dxfId="2448" priority="924" operator="between">
      <formula>0.191</formula>
      <formula>0.24</formula>
    </cfRule>
    <cfRule type="cellIs" dxfId="2447" priority="925" operator="between">
      <formula>0.1251</formula>
      <formula>0.19</formula>
    </cfRule>
    <cfRule type="cellIs" dxfId="2446" priority="926" operator="greaterThan">
      <formula>0.2601</formula>
    </cfRule>
    <cfRule type="cellIs" dxfId="2445" priority="927" operator="between">
      <formula>0.2401</formula>
      <formula>0.26</formula>
    </cfRule>
    <cfRule type="cellIs" dxfId="2444" priority="928" stopIfTrue="1" operator="between">
      <formula>0</formula>
      <formula>0.125</formula>
    </cfRule>
  </conditionalFormatting>
  <conditionalFormatting sqref="J140">
    <cfRule type="cellIs" dxfId="2443" priority="919" operator="between">
      <formula>0.191</formula>
      <formula>0.24</formula>
    </cfRule>
    <cfRule type="cellIs" dxfId="2442" priority="920" operator="between">
      <formula>0.1251</formula>
      <formula>0.19</formula>
    </cfRule>
    <cfRule type="cellIs" dxfId="2441" priority="921" operator="greaterThan">
      <formula>0.2601</formula>
    </cfRule>
    <cfRule type="cellIs" dxfId="2440" priority="922" operator="between">
      <formula>0.2401</formula>
      <formula>0.26</formula>
    </cfRule>
    <cfRule type="cellIs" dxfId="2439" priority="923" stopIfTrue="1" operator="between">
      <formula>0</formula>
      <formula>0.125</formula>
    </cfRule>
  </conditionalFormatting>
  <conditionalFormatting sqref="J142">
    <cfRule type="cellIs" dxfId="2438" priority="914" operator="between">
      <formula>0.191</formula>
      <formula>0.24</formula>
    </cfRule>
    <cfRule type="cellIs" dxfId="2437" priority="915" operator="between">
      <formula>0.1251</formula>
      <formula>0.19</formula>
    </cfRule>
    <cfRule type="cellIs" dxfId="2436" priority="916" operator="greaterThan">
      <formula>0.2601</formula>
    </cfRule>
    <cfRule type="cellIs" dxfId="2435" priority="917" operator="between">
      <formula>0.2401</formula>
      <formula>0.26</formula>
    </cfRule>
    <cfRule type="cellIs" dxfId="2434" priority="918" stopIfTrue="1" operator="between">
      <formula>0</formula>
      <formula>0.125</formula>
    </cfRule>
  </conditionalFormatting>
  <conditionalFormatting sqref="J143">
    <cfRule type="cellIs" dxfId="2433" priority="909" operator="between">
      <formula>0.191</formula>
      <formula>0.24</formula>
    </cfRule>
    <cfRule type="cellIs" dxfId="2432" priority="910" operator="between">
      <formula>0.1251</formula>
      <formula>0.19</formula>
    </cfRule>
    <cfRule type="cellIs" dxfId="2431" priority="911" operator="greaterThan">
      <formula>0.2601</formula>
    </cfRule>
    <cfRule type="cellIs" dxfId="2430" priority="912" operator="between">
      <formula>0.2401</formula>
      <formula>0.26</formula>
    </cfRule>
    <cfRule type="cellIs" dxfId="2429" priority="913" stopIfTrue="1" operator="between">
      <formula>0</formula>
      <formula>0.125</formula>
    </cfRule>
  </conditionalFormatting>
  <conditionalFormatting sqref="J144">
    <cfRule type="cellIs" dxfId="2428" priority="904" operator="between">
      <formula>0.191</formula>
      <formula>0.24</formula>
    </cfRule>
    <cfRule type="cellIs" dxfId="2427" priority="905" operator="between">
      <formula>0.1251</formula>
      <formula>0.19</formula>
    </cfRule>
    <cfRule type="cellIs" dxfId="2426" priority="906" operator="greaterThan">
      <formula>0.2601</formula>
    </cfRule>
    <cfRule type="cellIs" dxfId="2425" priority="907" operator="between">
      <formula>0.2401</formula>
      <formula>0.26</formula>
    </cfRule>
    <cfRule type="cellIs" dxfId="2424" priority="908" stopIfTrue="1" operator="between">
      <formula>0</formula>
      <formula>0.125</formula>
    </cfRule>
  </conditionalFormatting>
  <conditionalFormatting sqref="J145">
    <cfRule type="cellIs" dxfId="2423" priority="899" operator="between">
      <formula>0.191</formula>
      <formula>0.24</formula>
    </cfRule>
    <cfRule type="cellIs" dxfId="2422" priority="900" operator="between">
      <formula>0.1251</formula>
      <formula>0.19</formula>
    </cfRule>
    <cfRule type="cellIs" dxfId="2421" priority="901" operator="greaterThan">
      <formula>0.2601</formula>
    </cfRule>
    <cfRule type="cellIs" dxfId="2420" priority="902" operator="between">
      <formula>0.2401</formula>
      <formula>0.26</formula>
    </cfRule>
    <cfRule type="cellIs" dxfId="2419" priority="903" stopIfTrue="1" operator="between">
      <formula>0</formula>
      <formula>0.125</formula>
    </cfRule>
  </conditionalFormatting>
  <conditionalFormatting sqref="J146">
    <cfRule type="cellIs" dxfId="2418" priority="894" operator="between">
      <formula>0.191</formula>
      <formula>0.24</formula>
    </cfRule>
    <cfRule type="cellIs" dxfId="2417" priority="895" operator="between">
      <formula>0.1251</formula>
      <formula>0.19</formula>
    </cfRule>
    <cfRule type="cellIs" dxfId="2416" priority="896" operator="greaterThan">
      <formula>0.2601</formula>
    </cfRule>
    <cfRule type="cellIs" dxfId="2415" priority="897" operator="between">
      <formula>0.2401</formula>
      <formula>0.26</formula>
    </cfRule>
    <cfRule type="cellIs" dxfId="2414" priority="898" stopIfTrue="1" operator="between">
      <formula>0</formula>
      <formula>0.125</formula>
    </cfRule>
  </conditionalFormatting>
  <conditionalFormatting sqref="J147">
    <cfRule type="cellIs" dxfId="2413" priority="889" operator="between">
      <formula>0.191</formula>
      <formula>0.24</formula>
    </cfRule>
    <cfRule type="cellIs" dxfId="2412" priority="890" operator="between">
      <formula>0.1251</formula>
      <formula>0.19</formula>
    </cfRule>
    <cfRule type="cellIs" dxfId="2411" priority="891" operator="greaterThan">
      <formula>0.2601</formula>
    </cfRule>
    <cfRule type="cellIs" dxfId="2410" priority="892" operator="between">
      <formula>0.2401</formula>
      <formula>0.26</formula>
    </cfRule>
    <cfRule type="cellIs" dxfId="2409" priority="893" stopIfTrue="1" operator="between">
      <formula>0</formula>
      <formula>0.125</formula>
    </cfRule>
  </conditionalFormatting>
  <conditionalFormatting sqref="J148">
    <cfRule type="cellIs" dxfId="2408" priority="884" operator="between">
      <formula>0.191</formula>
      <formula>0.24</formula>
    </cfRule>
    <cfRule type="cellIs" dxfId="2407" priority="885" operator="between">
      <formula>0.1251</formula>
      <formula>0.19</formula>
    </cfRule>
    <cfRule type="cellIs" dxfId="2406" priority="886" operator="greaterThan">
      <formula>0.2601</formula>
    </cfRule>
    <cfRule type="cellIs" dxfId="2405" priority="887" operator="between">
      <formula>0.2401</formula>
      <formula>0.26</formula>
    </cfRule>
    <cfRule type="cellIs" dxfId="2404" priority="888" stopIfTrue="1" operator="between">
      <formula>0</formula>
      <formula>0.125</formula>
    </cfRule>
  </conditionalFormatting>
  <conditionalFormatting sqref="J149">
    <cfRule type="cellIs" dxfId="2403" priority="879" operator="between">
      <formula>0.191</formula>
      <formula>0.24</formula>
    </cfRule>
    <cfRule type="cellIs" dxfId="2402" priority="880" operator="between">
      <formula>0.1251</formula>
      <formula>0.19</formula>
    </cfRule>
    <cfRule type="cellIs" dxfId="2401" priority="881" operator="greaterThan">
      <formula>0.2601</formula>
    </cfRule>
    <cfRule type="cellIs" dxfId="2400" priority="882" operator="between">
      <formula>0.2401</formula>
      <formula>0.26</formula>
    </cfRule>
    <cfRule type="cellIs" dxfId="2399" priority="883" stopIfTrue="1" operator="between">
      <formula>0</formula>
      <formula>0.125</formula>
    </cfRule>
  </conditionalFormatting>
  <conditionalFormatting sqref="J150">
    <cfRule type="cellIs" dxfId="2398" priority="874" operator="between">
      <formula>0.191</formula>
      <formula>0.24</formula>
    </cfRule>
    <cfRule type="cellIs" dxfId="2397" priority="875" operator="between">
      <formula>0.1251</formula>
      <formula>0.19</formula>
    </cfRule>
    <cfRule type="cellIs" dxfId="2396" priority="876" operator="greaterThan">
      <formula>0.2601</formula>
    </cfRule>
    <cfRule type="cellIs" dxfId="2395" priority="877" operator="between">
      <formula>0.2401</formula>
      <formula>0.26</formula>
    </cfRule>
    <cfRule type="cellIs" dxfId="2394" priority="878" stopIfTrue="1" operator="between">
      <formula>0</formula>
      <formula>0.125</formula>
    </cfRule>
  </conditionalFormatting>
  <conditionalFormatting sqref="J151">
    <cfRule type="cellIs" dxfId="2393" priority="869" operator="between">
      <formula>0.191</formula>
      <formula>0.24</formula>
    </cfRule>
    <cfRule type="cellIs" dxfId="2392" priority="870" operator="between">
      <formula>0.1251</formula>
      <formula>0.19</formula>
    </cfRule>
    <cfRule type="cellIs" dxfId="2391" priority="871" operator="greaterThan">
      <formula>0.2601</formula>
    </cfRule>
    <cfRule type="cellIs" dxfId="2390" priority="872" operator="between">
      <formula>0.2401</formula>
      <formula>0.26</formula>
    </cfRule>
    <cfRule type="cellIs" dxfId="2389" priority="873" stopIfTrue="1" operator="between">
      <formula>0</formula>
      <formula>0.125</formula>
    </cfRule>
  </conditionalFormatting>
  <conditionalFormatting sqref="J152">
    <cfRule type="cellIs" dxfId="2388" priority="864" operator="between">
      <formula>0.191</formula>
      <formula>0.24</formula>
    </cfRule>
    <cfRule type="cellIs" dxfId="2387" priority="865" operator="between">
      <formula>0.1251</formula>
      <formula>0.19</formula>
    </cfRule>
    <cfRule type="cellIs" dxfId="2386" priority="866" operator="greaterThan">
      <formula>0.2601</formula>
    </cfRule>
    <cfRule type="cellIs" dxfId="2385" priority="867" operator="between">
      <formula>0.2401</formula>
      <formula>0.26</formula>
    </cfRule>
    <cfRule type="cellIs" dxfId="2384" priority="868" stopIfTrue="1" operator="between">
      <formula>0</formula>
      <formula>0.125</formula>
    </cfRule>
  </conditionalFormatting>
  <conditionalFormatting sqref="J153">
    <cfRule type="cellIs" dxfId="2383" priority="859" operator="between">
      <formula>0.191</formula>
      <formula>0.24</formula>
    </cfRule>
    <cfRule type="cellIs" dxfId="2382" priority="860" operator="between">
      <formula>0.1251</formula>
      <formula>0.19</formula>
    </cfRule>
    <cfRule type="cellIs" dxfId="2381" priority="861" operator="greaterThan">
      <formula>0.2601</formula>
    </cfRule>
    <cfRule type="cellIs" dxfId="2380" priority="862" operator="between">
      <formula>0.2401</formula>
      <formula>0.26</formula>
    </cfRule>
    <cfRule type="cellIs" dxfId="2379" priority="863" stopIfTrue="1" operator="between">
      <formula>0</formula>
      <formula>0.125</formula>
    </cfRule>
  </conditionalFormatting>
  <conditionalFormatting sqref="J154">
    <cfRule type="cellIs" dxfId="2378" priority="854" operator="between">
      <formula>0.191</formula>
      <formula>0.24</formula>
    </cfRule>
    <cfRule type="cellIs" dxfId="2377" priority="855" operator="between">
      <formula>0.1251</formula>
      <formula>0.19</formula>
    </cfRule>
    <cfRule type="cellIs" dxfId="2376" priority="856" operator="greaterThan">
      <formula>0.2601</formula>
    </cfRule>
    <cfRule type="cellIs" dxfId="2375" priority="857" operator="between">
      <formula>0.2401</formula>
      <formula>0.26</formula>
    </cfRule>
    <cfRule type="cellIs" dxfId="2374" priority="858" stopIfTrue="1" operator="between">
      <formula>0</formula>
      <formula>0.125</formula>
    </cfRule>
  </conditionalFormatting>
  <conditionalFormatting sqref="J155">
    <cfRule type="cellIs" dxfId="2373" priority="849" operator="between">
      <formula>0.191</formula>
      <formula>0.24</formula>
    </cfRule>
    <cfRule type="cellIs" dxfId="2372" priority="850" operator="between">
      <formula>0.1251</formula>
      <formula>0.19</formula>
    </cfRule>
    <cfRule type="cellIs" dxfId="2371" priority="851" operator="greaterThan">
      <formula>0.2601</formula>
    </cfRule>
    <cfRule type="cellIs" dxfId="2370" priority="852" operator="between">
      <formula>0.2401</formula>
      <formula>0.26</formula>
    </cfRule>
    <cfRule type="cellIs" dxfId="2369" priority="853" stopIfTrue="1" operator="between">
      <formula>0</formula>
      <formula>0.125</formula>
    </cfRule>
  </conditionalFormatting>
  <conditionalFormatting sqref="J156">
    <cfRule type="cellIs" dxfId="2368" priority="844" operator="between">
      <formula>0.191</formula>
      <formula>0.24</formula>
    </cfRule>
    <cfRule type="cellIs" dxfId="2367" priority="845" operator="between">
      <formula>0.1251</formula>
      <formula>0.19</formula>
    </cfRule>
    <cfRule type="cellIs" dxfId="2366" priority="846" operator="greaterThan">
      <formula>0.2601</formula>
    </cfRule>
    <cfRule type="cellIs" dxfId="2365" priority="847" operator="between">
      <formula>0.2401</formula>
      <formula>0.26</formula>
    </cfRule>
    <cfRule type="cellIs" dxfId="2364" priority="848" stopIfTrue="1" operator="between">
      <formula>0</formula>
      <formula>0.125</formula>
    </cfRule>
  </conditionalFormatting>
  <conditionalFormatting sqref="J157">
    <cfRule type="cellIs" dxfId="2363" priority="839" operator="between">
      <formula>0.191</formula>
      <formula>0.24</formula>
    </cfRule>
    <cfRule type="cellIs" dxfId="2362" priority="840" operator="between">
      <formula>0.1251</formula>
      <formula>0.19</formula>
    </cfRule>
    <cfRule type="cellIs" dxfId="2361" priority="841" operator="greaterThan">
      <formula>0.2601</formula>
    </cfRule>
    <cfRule type="cellIs" dxfId="2360" priority="842" operator="between">
      <formula>0.2401</formula>
      <formula>0.26</formula>
    </cfRule>
    <cfRule type="cellIs" dxfId="2359" priority="843" stopIfTrue="1" operator="between">
      <formula>0</formula>
      <formula>0.125</formula>
    </cfRule>
  </conditionalFormatting>
  <conditionalFormatting sqref="J158">
    <cfRule type="cellIs" dxfId="2358" priority="834" operator="between">
      <formula>0.191</formula>
      <formula>0.24</formula>
    </cfRule>
    <cfRule type="cellIs" dxfId="2357" priority="835" operator="between">
      <formula>0.1251</formula>
      <formula>0.19</formula>
    </cfRule>
    <cfRule type="cellIs" dxfId="2356" priority="836" operator="greaterThan">
      <formula>0.2601</formula>
    </cfRule>
    <cfRule type="cellIs" dxfId="2355" priority="837" operator="between">
      <formula>0.2401</formula>
      <formula>0.26</formula>
    </cfRule>
    <cfRule type="cellIs" dxfId="2354" priority="838" stopIfTrue="1" operator="between">
      <formula>0</formula>
      <formula>0.125</formula>
    </cfRule>
  </conditionalFormatting>
  <conditionalFormatting sqref="J159">
    <cfRule type="cellIs" dxfId="2353" priority="829" operator="between">
      <formula>0.191</formula>
      <formula>0.24</formula>
    </cfRule>
    <cfRule type="cellIs" dxfId="2352" priority="830" operator="between">
      <formula>0.1251</formula>
      <formula>0.19</formula>
    </cfRule>
    <cfRule type="cellIs" dxfId="2351" priority="831" operator="greaterThan">
      <formula>0.2601</formula>
    </cfRule>
    <cfRule type="cellIs" dxfId="2350" priority="832" operator="between">
      <formula>0.2401</formula>
      <formula>0.26</formula>
    </cfRule>
    <cfRule type="cellIs" dxfId="2349" priority="833" stopIfTrue="1" operator="between">
      <formula>0</formula>
      <formula>0.125</formula>
    </cfRule>
  </conditionalFormatting>
  <conditionalFormatting sqref="J160">
    <cfRule type="cellIs" dxfId="2348" priority="824" operator="between">
      <formula>0.191</formula>
      <formula>0.24</formula>
    </cfRule>
    <cfRule type="cellIs" dxfId="2347" priority="825" operator="between">
      <formula>0.1251</formula>
      <formula>0.19</formula>
    </cfRule>
    <cfRule type="cellIs" dxfId="2346" priority="826" operator="greaterThan">
      <formula>0.2601</formula>
    </cfRule>
    <cfRule type="cellIs" dxfId="2345" priority="827" operator="between">
      <formula>0.2401</formula>
      <formula>0.26</formula>
    </cfRule>
    <cfRule type="cellIs" dxfId="2344" priority="828" stopIfTrue="1" operator="between">
      <formula>0</formula>
      <formula>0.125</formula>
    </cfRule>
  </conditionalFormatting>
  <conditionalFormatting sqref="J161">
    <cfRule type="cellIs" dxfId="2343" priority="819" operator="between">
      <formula>0.191</formula>
      <formula>0.24</formula>
    </cfRule>
    <cfRule type="cellIs" dxfId="2342" priority="820" operator="between">
      <formula>0.1251</formula>
      <formula>0.19</formula>
    </cfRule>
    <cfRule type="cellIs" dxfId="2341" priority="821" operator="greaterThan">
      <formula>0.2601</formula>
    </cfRule>
    <cfRule type="cellIs" dxfId="2340" priority="822" operator="between">
      <formula>0.2401</formula>
      <formula>0.26</formula>
    </cfRule>
    <cfRule type="cellIs" dxfId="2339" priority="823" stopIfTrue="1" operator="between">
      <formula>0</formula>
      <formula>0.125</formula>
    </cfRule>
  </conditionalFormatting>
  <conditionalFormatting sqref="J162">
    <cfRule type="cellIs" dxfId="2338" priority="814" operator="between">
      <formula>0.191</formula>
      <formula>0.24</formula>
    </cfRule>
    <cfRule type="cellIs" dxfId="2337" priority="815" operator="between">
      <formula>0.1251</formula>
      <formula>0.19</formula>
    </cfRule>
    <cfRule type="cellIs" dxfId="2336" priority="816" operator="greaterThan">
      <formula>0.2601</formula>
    </cfRule>
    <cfRule type="cellIs" dxfId="2335" priority="817" operator="between">
      <formula>0.2401</formula>
      <formula>0.26</formula>
    </cfRule>
    <cfRule type="cellIs" dxfId="2334" priority="818" stopIfTrue="1" operator="between">
      <formula>0</formula>
      <formula>0.125</formula>
    </cfRule>
  </conditionalFormatting>
  <conditionalFormatting sqref="J163">
    <cfRule type="cellIs" dxfId="2333" priority="809" operator="between">
      <formula>0.191</formula>
      <formula>0.24</formula>
    </cfRule>
    <cfRule type="cellIs" dxfId="2332" priority="810" operator="between">
      <formula>0.1251</formula>
      <formula>0.19</formula>
    </cfRule>
    <cfRule type="cellIs" dxfId="2331" priority="811" operator="greaterThan">
      <formula>0.2601</formula>
    </cfRule>
    <cfRule type="cellIs" dxfId="2330" priority="812" operator="between">
      <formula>0.2401</formula>
      <formula>0.26</formula>
    </cfRule>
    <cfRule type="cellIs" dxfId="2329" priority="813" stopIfTrue="1" operator="between">
      <formula>0</formula>
      <formula>0.125</formula>
    </cfRule>
  </conditionalFormatting>
  <conditionalFormatting sqref="J164">
    <cfRule type="cellIs" dxfId="2328" priority="804" operator="between">
      <formula>0.191</formula>
      <formula>0.24</formula>
    </cfRule>
    <cfRule type="cellIs" dxfId="2327" priority="805" operator="between">
      <formula>0.1251</formula>
      <formula>0.19</formula>
    </cfRule>
    <cfRule type="cellIs" dxfId="2326" priority="806" operator="greaterThan">
      <formula>0.2601</formula>
    </cfRule>
    <cfRule type="cellIs" dxfId="2325" priority="807" operator="between">
      <formula>0.2401</formula>
      <formula>0.26</formula>
    </cfRule>
    <cfRule type="cellIs" dxfId="2324" priority="808" stopIfTrue="1" operator="between">
      <formula>0</formula>
      <formula>0.125</formula>
    </cfRule>
  </conditionalFormatting>
  <conditionalFormatting sqref="J165">
    <cfRule type="cellIs" dxfId="2323" priority="799" operator="between">
      <formula>0.191</formula>
      <formula>0.24</formula>
    </cfRule>
    <cfRule type="cellIs" dxfId="2322" priority="800" operator="between">
      <formula>0.1251</formula>
      <formula>0.19</formula>
    </cfRule>
    <cfRule type="cellIs" dxfId="2321" priority="801" operator="greaterThan">
      <formula>0.2601</formula>
    </cfRule>
    <cfRule type="cellIs" dxfId="2320" priority="802" operator="between">
      <formula>0.2401</formula>
      <formula>0.26</formula>
    </cfRule>
    <cfRule type="cellIs" dxfId="2319" priority="803" stopIfTrue="1" operator="between">
      <formula>0</formula>
      <formula>0.125</formula>
    </cfRule>
  </conditionalFormatting>
  <conditionalFormatting sqref="J166">
    <cfRule type="cellIs" dxfId="2318" priority="794" operator="between">
      <formula>0.191</formula>
      <formula>0.24</formula>
    </cfRule>
    <cfRule type="cellIs" dxfId="2317" priority="795" operator="between">
      <formula>0.1251</formula>
      <formula>0.19</formula>
    </cfRule>
    <cfRule type="cellIs" dxfId="2316" priority="796" operator="greaterThan">
      <formula>0.2601</formula>
    </cfRule>
    <cfRule type="cellIs" dxfId="2315" priority="797" operator="between">
      <formula>0.2401</formula>
      <formula>0.26</formula>
    </cfRule>
    <cfRule type="cellIs" dxfId="2314" priority="798" stopIfTrue="1" operator="between">
      <formula>0</formula>
      <formula>0.125</formula>
    </cfRule>
  </conditionalFormatting>
  <conditionalFormatting sqref="J167">
    <cfRule type="cellIs" dxfId="2313" priority="789" operator="between">
      <formula>0.191</formula>
      <formula>0.24</formula>
    </cfRule>
    <cfRule type="cellIs" dxfId="2312" priority="790" operator="between">
      <formula>0.1251</formula>
      <formula>0.19</formula>
    </cfRule>
    <cfRule type="cellIs" dxfId="2311" priority="791" operator="greaterThan">
      <formula>0.2601</formula>
    </cfRule>
    <cfRule type="cellIs" dxfId="2310" priority="792" operator="between">
      <formula>0.2401</formula>
      <formula>0.26</formula>
    </cfRule>
    <cfRule type="cellIs" dxfId="2309" priority="793" stopIfTrue="1" operator="between">
      <formula>0</formula>
      <formula>0.125</formula>
    </cfRule>
  </conditionalFormatting>
  <conditionalFormatting sqref="J168">
    <cfRule type="cellIs" dxfId="2308" priority="784" operator="between">
      <formula>0.191</formula>
      <formula>0.24</formula>
    </cfRule>
    <cfRule type="cellIs" dxfId="2307" priority="785" operator="between">
      <formula>0.1251</formula>
      <formula>0.19</formula>
    </cfRule>
    <cfRule type="cellIs" dxfId="2306" priority="786" operator="greaterThan">
      <formula>0.2601</formula>
    </cfRule>
    <cfRule type="cellIs" dxfId="2305" priority="787" operator="between">
      <formula>0.2401</formula>
      <formula>0.26</formula>
    </cfRule>
    <cfRule type="cellIs" dxfId="2304" priority="788" stopIfTrue="1" operator="between">
      <formula>0</formula>
      <formula>0.125</formula>
    </cfRule>
  </conditionalFormatting>
  <conditionalFormatting sqref="J170">
    <cfRule type="cellIs" dxfId="2303" priority="774" operator="between">
      <formula>0.191</formula>
      <formula>0.24</formula>
    </cfRule>
    <cfRule type="cellIs" dxfId="2302" priority="775" operator="between">
      <formula>0.1251</formula>
      <formula>0.19</formula>
    </cfRule>
    <cfRule type="cellIs" dxfId="2301" priority="776" operator="greaterThan">
      <formula>0.2601</formula>
    </cfRule>
    <cfRule type="cellIs" dxfId="2300" priority="777" operator="between">
      <formula>0.2401</formula>
      <formula>0.26</formula>
    </cfRule>
    <cfRule type="cellIs" dxfId="2299" priority="778" stopIfTrue="1" operator="between">
      <formula>0</formula>
      <formula>0.125</formula>
    </cfRule>
  </conditionalFormatting>
  <conditionalFormatting sqref="J169">
    <cfRule type="cellIs" dxfId="2298" priority="769" operator="between">
      <formula>0.191</formula>
      <formula>0.24</formula>
    </cfRule>
    <cfRule type="cellIs" dxfId="2297" priority="770" operator="between">
      <formula>0.1251</formula>
      <formula>0.19</formula>
    </cfRule>
    <cfRule type="cellIs" dxfId="2296" priority="771" operator="greaterThan">
      <formula>0.2601</formula>
    </cfRule>
    <cfRule type="cellIs" dxfId="2295" priority="772" operator="between">
      <formula>0.2401</formula>
      <formula>0.26</formula>
    </cfRule>
    <cfRule type="cellIs" dxfId="2294" priority="773" stopIfTrue="1" operator="between">
      <formula>0</formula>
      <formula>0.125</formula>
    </cfRule>
  </conditionalFormatting>
  <conditionalFormatting sqref="J171:J172">
    <cfRule type="cellIs" dxfId="2293" priority="754" operator="between">
      <formula>0.191</formula>
      <formula>0.24</formula>
    </cfRule>
    <cfRule type="cellIs" dxfId="2292" priority="755" operator="between">
      <formula>0.1251</formula>
      <formula>0.19</formula>
    </cfRule>
    <cfRule type="cellIs" dxfId="2291" priority="756" operator="greaterThan">
      <formula>0.2601</formula>
    </cfRule>
    <cfRule type="cellIs" dxfId="2290" priority="757" operator="between">
      <formula>0.2401</formula>
      <formula>0.26</formula>
    </cfRule>
    <cfRule type="cellIs" dxfId="2289" priority="758" stopIfTrue="1" operator="between">
      <formula>0</formula>
      <formula>0.125</formula>
    </cfRule>
  </conditionalFormatting>
  <conditionalFormatting sqref="J173">
    <cfRule type="cellIs" dxfId="2288" priority="749" operator="between">
      <formula>0.191</formula>
      <formula>0.24</formula>
    </cfRule>
    <cfRule type="cellIs" dxfId="2287" priority="750" operator="between">
      <formula>0.1251</formula>
      <formula>0.19</formula>
    </cfRule>
    <cfRule type="cellIs" dxfId="2286" priority="751" operator="greaterThan">
      <formula>0.2601</formula>
    </cfRule>
    <cfRule type="cellIs" dxfId="2285" priority="752" operator="between">
      <formula>0.2401</formula>
      <formula>0.26</formula>
    </cfRule>
    <cfRule type="cellIs" dxfId="2284" priority="753" stopIfTrue="1" operator="between">
      <formula>0</formula>
      <formula>0.125</formula>
    </cfRule>
  </conditionalFormatting>
  <conditionalFormatting sqref="J174">
    <cfRule type="cellIs" dxfId="2283" priority="744" operator="between">
      <formula>0.191</formula>
      <formula>0.24</formula>
    </cfRule>
    <cfRule type="cellIs" dxfId="2282" priority="745" operator="between">
      <formula>0.1251</formula>
      <formula>0.19</formula>
    </cfRule>
    <cfRule type="cellIs" dxfId="2281" priority="746" operator="greaterThan">
      <formula>0.2601</formula>
    </cfRule>
    <cfRule type="cellIs" dxfId="2280" priority="747" operator="between">
      <formula>0.2401</formula>
      <formula>0.26</formula>
    </cfRule>
    <cfRule type="cellIs" dxfId="2279" priority="748" stopIfTrue="1" operator="between">
      <formula>0</formula>
      <formula>0.125</formula>
    </cfRule>
  </conditionalFormatting>
  <conditionalFormatting sqref="J175">
    <cfRule type="cellIs" dxfId="2278" priority="739" operator="between">
      <formula>0.191</formula>
      <formula>0.24</formula>
    </cfRule>
    <cfRule type="cellIs" dxfId="2277" priority="740" operator="between">
      <formula>0.1251</formula>
      <formula>0.19</formula>
    </cfRule>
    <cfRule type="cellIs" dxfId="2276" priority="741" operator="greaterThan">
      <formula>0.2601</formula>
    </cfRule>
    <cfRule type="cellIs" dxfId="2275" priority="742" operator="between">
      <formula>0.2401</formula>
      <formula>0.26</formula>
    </cfRule>
    <cfRule type="cellIs" dxfId="2274" priority="743" stopIfTrue="1" operator="between">
      <formula>0</formula>
      <formula>0.125</formula>
    </cfRule>
  </conditionalFormatting>
  <conditionalFormatting sqref="J176">
    <cfRule type="cellIs" dxfId="2273" priority="734" operator="between">
      <formula>0.191</formula>
      <formula>0.24</formula>
    </cfRule>
    <cfRule type="cellIs" dxfId="2272" priority="735" operator="between">
      <formula>0.1251</formula>
      <formula>0.19</formula>
    </cfRule>
    <cfRule type="cellIs" dxfId="2271" priority="736" operator="greaterThan">
      <formula>0.2601</formula>
    </cfRule>
    <cfRule type="cellIs" dxfId="2270" priority="737" operator="between">
      <formula>0.2401</formula>
      <formula>0.26</formula>
    </cfRule>
    <cfRule type="cellIs" dxfId="2269" priority="738" stopIfTrue="1" operator="between">
      <formula>0</formula>
      <formula>0.125</formula>
    </cfRule>
  </conditionalFormatting>
  <conditionalFormatting sqref="J177">
    <cfRule type="cellIs" dxfId="2268" priority="729" operator="between">
      <formula>0.191</formula>
      <formula>0.24</formula>
    </cfRule>
    <cfRule type="cellIs" dxfId="2267" priority="730" operator="between">
      <formula>0.1251</formula>
      <formula>0.19</formula>
    </cfRule>
    <cfRule type="cellIs" dxfId="2266" priority="731" operator="greaterThan">
      <formula>0.2601</formula>
    </cfRule>
    <cfRule type="cellIs" dxfId="2265" priority="732" operator="between">
      <formula>0.2401</formula>
      <formula>0.26</formula>
    </cfRule>
    <cfRule type="cellIs" dxfId="2264" priority="733" stopIfTrue="1" operator="between">
      <formula>0</formula>
      <formula>0.125</formula>
    </cfRule>
  </conditionalFormatting>
  <conditionalFormatting sqref="J178">
    <cfRule type="cellIs" dxfId="2263" priority="724" operator="between">
      <formula>0.191</formula>
      <formula>0.24</formula>
    </cfRule>
    <cfRule type="cellIs" dxfId="2262" priority="725" operator="between">
      <formula>0.1251</formula>
      <formula>0.19</formula>
    </cfRule>
    <cfRule type="cellIs" dxfId="2261" priority="726" operator="greaterThan">
      <formula>0.2601</formula>
    </cfRule>
    <cfRule type="cellIs" dxfId="2260" priority="727" operator="between">
      <formula>0.2401</formula>
      <formula>0.26</formula>
    </cfRule>
    <cfRule type="cellIs" dxfId="2259" priority="728" stopIfTrue="1" operator="between">
      <formula>0</formula>
      <formula>0.125</formula>
    </cfRule>
  </conditionalFormatting>
  <conditionalFormatting sqref="J179">
    <cfRule type="cellIs" dxfId="2258" priority="719" operator="between">
      <formula>0.191</formula>
      <formula>0.24</formula>
    </cfRule>
    <cfRule type="cellIs" dxfId="2257" priority="720" operator="between">
      <formula>0.1251</formula>
      <formula>0.19</formula>
    </cfRule>
    <cfRule type="cellIs" dxfId="2256" priority="721" operator="greaterThan">
      <formula>0.2601</formula>
    </cfRule>
    <cfRule type="cellIs" dxfId="2255" priority="722" operator="between">
      <formula>0.2401</formula>
      <formula>0.26</formula>
    </cfRule>
    <cfRule type="cellIs" dxfId="2254" priority="723" stopIfTrue="1" operator="between">
      <formula>0</formula>
      <formula>0.125</formula>
    </cfRule>
  </conditionalFormatting>
  <conditionalFormatting sqref="J180">
    <cfRule type="cellIs" dxfId="2253" priority="714" operator="between">
      <formula>0.191</formula>
      <formula>0.24</formula>
    </cfRule>
    <cfRule type="cellIs" dxfId="2252" priority="715" operator="between">
      <formula>0.1251</formula>
      <formula>0.19</formula>
    </cfRule>
    <cfRule type="cellIs" dxfId="2251" priority="716" operator="greaterThan">
      <formula>0.2601</formula>
    </cfRule>
    <cfRule type="cellIs" dxfId="2250" priority="717" operator="between">
      <formula>0.2401</formula>
      <formula>0.26</formula>
    </cfRule>
    <cfRule type="cellIs" dxfId="2249" priority="718" stopIfTrue="1" operator="between">
      <formula>0</formula>
      <formula>0.125</formula>
    </cfRule>
  </conditionalFormatting>
  <conditionalFormatting sqref="J181">
    <cfRule type="cellIs" dxfId="2248" priority="709" operator="between">
      <formula>0.191</formula>
      <formula>0.24</formula>
    </cfRule>
    <cfRule type="cellIs" dxfId="2247" priority="710" operator="between">
      <formula>0.1251</formula>
      <formula>0.19</formula>
    </cfRule>
    <cfRule type="cellIs" dxfId="2246" priority="711" operator="greaterThan">
      <formula>0.2601</formula>
    </cfRule>
    <cfRule type="cellIs" dxfId="2245" priority="712" operator="between">
      <formula>0.2401</formula>
      <formula>0.26</formula>
    </cfRule>
    <cfRule type="cellIs" dxfId="2244" priority="713" stopIfTrue="1" operator="between">
      <formula>0</formula>
      <formula>0.125</formula>
    </cfRule>
  </conditionalFormatting>
  <conditionalFormatting sqref="J182">
    <cfRule type="cellIs" dxfId="2243" priority="704" operator="between">
      <formula>0.191</formula>
      <formula>0.24</formula>
    </cfRule>
    <cfRule type="cellIs" dxfId="2242" priority="705" operator="between">
      <formula>0.1251</formula>
      <formula>0.19</formula>
    </cfRule>
    <cfRule type="cellIs" dxfId="2241" priority="706" operator="greaterThan">
      <formula>0.2601</formula>
    </cfRule>
    <cfRule type="cellIs" dxfId="2240" priority="707" operator="between">
      <formula>0.2401</formula>
      <formula>0.26</formula>
    </cfRule>
    <cfRule type="cellIs" dxfId="2239" priority="708" stopIfTrue="1" operator="between">
      <formula>0</formula>
      <formula>0.125</formula>
    </cfRule>
  </conditionalFormatting>
  <conditionalFormatting sqref="J183">
    <cfRule type="cellIs" dxfId="2238" priority="699" operator="between">
      <formula>0.191</formula>
      <formula>0.24</formula>
    </cfRule>
    <cfRule type="cellIs" dxfId="2237" priority="700" operator="between">
      <formula>0.1251</formula>
      <formula>0.19</formula>
    </cfRule>
    <cfRule type="cellIs" dxfId="2236" priority="701" operator="greaterThan">
      <formula>0.2601</formula>
    </cfRule>
    <cfRule type="cellIs" dxfId="2235" priority="702" operator="between">
      <formula>0.2401</formula>
      <formula>0.26</formula>
    </cfRule>
    <cfRule type="cellIs" dxfId="2234" priority="703" stopIfTrue="1" operator="between">
      <formula>0</formula>
      <formula>0.125</formula>
    </cfRule>
  </conditionalFormatting>
  <conditionalFormatting sqref="J184">
    <cfRule type="cellIs" dxfId="2233" priority="694" operator="between">
      <formula>0.191</formula>
      <formula>0.24</formula>
    </cfRule>
    <cfRule type="cellIs" dxfId="2232" priority="695" operator="between">
      <formula>0.1251</formula>
      <formula>0.19</formula>
    </cfRule>
    <cfRule type="cellIs" dxfId="2231" priority="696" operator="greaterThan">
      <formula>0.2601</formula>
    </cfRule>
    <cfRule type="cellIs" dxfId="2230" priority="697" operator="between">
      <formula>0.2401</formula>
      <formula>0.26</formula>
    </cfRule>
    <cfRule type="cellIs" dxfId="2229" priority="698" stopIfTrue="1" operator="between">
      <formula>0</formula>
      <formula>0.125</formula>
    </cfRule>
  </conditionalFormatting>
  <conditionalFormatting sqref="J185">
    <cfRule type="cellIs" dxfId="2228" priority="689" operator="between">
      <formula>0.191</formula>
      <formula>0.24</formula>
    </cfRule>
    <cfRule type="cellIs" dxfId="2227" priority="690" operator="between">
      <formula>0.1251</formula>
      <formula>0.19</formula>
    </cfRule>
    <cfRule type="cellIs" dxfId="2226" priority="691" operator="greaterThan">
      <formula>0.2601</formula>
    </cfRule>
    <cfRule type="cellIs" dxfId="2225" priority="692" operator="between">
      <formula>0.2401</formula>
      <formula>0.26</formula>
    </cfRule>
    <cfRule type="cellIs" dxfId="2224" priority="693" stopIfTrue="1" operator="between">
      <formula>0</formula>
      <formula>0.125</formula>
    </cfRule>
  </conditionalFormatting>
  <conditionalFormatting sqref="J186">
    <cfRule type="cellIs" dxfId="2223" priority="684" operator="between">
      <formula>0.191</formula>
      <formula>0.24</formula>
    </cfRule>
    <cfRule type="cellIs" dxfId="2222" priority="685" operator="between">
      <formula>0.1251</formula>
      <formula>0.19</formula>
    </cfRule>
    <cfRule type="cellIs" dxfId="2221" priority="686" operator="greaterThan">
      <formula>0.2601</formula>
    </cfRule>
    <cfRule type="cellIs" dxfId="2220" priority="687" operator="between">
      <formula>0.2401</formula>
      <formula>0.26</formula>
    </cfRule>
    <cfRule type="cellIs" dxfId="2219" priority="688" stopIfTrue="1" operator="between">
      <formula>0</formula>
      <formula>0.125</formula>
    </cfRule>
  </conditionalFormatting>
  <conditionalFormatting sqref="J187">
    <cfRule type="cellIs" dxfId="2218" priority="679" operator="between">
      <formula>0.191</formula>
      <formula>0.24</formula>
    </cfRule>
    <cfRule type="cellIs" dxfId="2217" priority="680" operator="between">
      <formula>0.1251</formula>
      <formula>0.19</formula>
    </cfRule>
    <cfRule type="cellIs" dxfId="2216" priority="681" operator="greaterThan">
      <formula>0.2601</formula>
    </cfRule>
    <cfRule type="cellIs" dxfId="2215" priority="682" operator="between">
      <formula>0.2401</formula>
      <formula>0.26</formula>
    </cfRule>
    <cfRule type="cellIs" dxfId="2214" priority="683" stopIfTrue="1" operator="between">
      <formula>0</formula>
      <formula>0.125</formula>
    </cfRule>
  </conditionalFormatting>
  <conditionalFormatting sqref="J188">
    <cfRule type="cellIs" dxfId="2213" priority="674" operator="between">
      <formula>0.191</formula>
      <formula>0.24</formula>
    </cfRule>
    <cfRule type="cellIs" dxfId="2212" priority="675" operator="between">
      <formula>0.1251</formula>
      <formula>0.19</formula>
    </cfRule>
    <cfRule type="cellIs" dxfId="2211" priority="676" operator="greaterThan">
      <formula>0.2601</formula>
    </cfRule>
    <cfRule type="cellIs" dxfId="2210" priority="677" operator="between">
      <formula>0.2401</formula>
      <formula>0.26</formula>
    </cfRule>
    <cfRule type="cellIs" dxfId="2209" priority="678" stopIfTrue="1" operator="between">
      <formula>0</formula>
      <formula>0.125</formula>
    </cfRule>
  </conditionalFormatting>
  <conditionalFormatting sqref="J189">
    <cfRule type="cellIs" dxfId="2208" priority="669" operator="between">
      <formula>0.191</formula>
      <formula>0.24</formula>
    </cfRule>
    <cfRule type="cellIs" dxfId="2207" priority="670" operator="between">
      <formula>0.1251</formula>
      <formula>0.19</formula>
    </cfRule>
    <cfRule type="cellIs" dxfId="2206" priority="671" operator="greaterThan">
      <formula>0.2601</formula>
    </cfRule>
    <cfRule type="cellIs" dxfId="2205" priority="672" operator="between">
      <formula>0.2401</formula>
      <formula>0.26</formula>
    </cfRule>
    <cfRule type="cellIs" dxfId="2204" priority="673" stopIfTrue="1" operator="between">
      <formula>0</formula>
      <formula>0.125</formula>
    </cfRule>
  </conditionalFormatting>
  <conditionalFormatting sqref="J190">
    <cfRule type="cellIs" dxfId="2203" priority="664" operator="between">
      <formula>0.191</formula>
      <formula>0.24</formula>
    </cfRule>
    <cfRule type="cellIs" dxfId="2202" priority="665" operator="between">
      <formula>0.1251</formula>
      <formula>0.19</formula>
    </cfRule>
    <cfRule type="cellIs" dxfId="2201" priority="666" operator="greaterThan">
      <formula>0.2601</formula>
    </cfRule>
    <cfRule type="cellIs" dxfId="2200" priority="667" operator="between">
      <formula>0.2401</formula>
      <formula>0.26</formula>
    </cfRule>
    <cfRule type="cellIs" dxfId="2199" priority="668" stopIfTrue="1" operator="between">
      <formula>0</formula>
      <formula>0.125</formula>
    </cfRule>
  </conditionalFormatting>
  <conditionalFormatting sqref="J191">
    <cfRule type="cellIs" dxfId="2198" priority="659" operator="between">
      <formula>0.191</formula>
      <formula>0.24</formula>
    </cfRule>
    <cfRule type="cellIs" dxfId="2197" priority="660" operator="between">
      <formula>0.1251</formula>
      <formula>0.19</formula>
    </cfRule>
    <cfRule type="cellIs" dxfId="2196" priority="661" operator="greaterThan">
      <formula>0.2601</formula>
    </cfRule>
    <cfRule type="cellIs" dxfId="2195" priority="662" operator="between">
      <formula>0.2401</formula>
      <formula>0.26</formula>
    </cfRule>
    <cfRule type="cellIs" dxfId="2194" priority="663" stopIfTrue="1" operator="between">
      <formula>0</formula>
      <formula>0.125</formula>
    </cfRule>
  </conditionalFormatting>
  <conditionalFormatting sqref="J192">
    <cfRule type="cellIs" dxfId="2193" priority="654" operator="between">
      <formula>0.191</formula>
      <formula>0.24</formula>
    </cfRule>
    <cfRule type="cellIs" dxfId="2192" priority="655" operator="between">
      <formula>0.1251</formula>
      <formula>0.19</formula>
    </cfRule>
    <cfRule type="cellIs" dxfId="2191" priority="656" operator="greaterThan">
      <formula>0.2601</formula>
    </cfRule>
    <cfRule type="cellIs" dxfId="2190" priority="657" operator="between">
      <formula>0.2401</formula>
      <formula>0.26</formula>
    </cfRule>
    <cfRule type="cellIs" dxfId="2189" priority="658" stopIfTrue="1" operator="between">
      <formula>0</formula>
      <formula>0.125</formula>
    </cfRule>
  </conditionalFormatting>
  <conditionalFormatting sqref="J193">
    <cfRule type="cellIs" dxfId="2188" priority="649" operator="between">
      <formula>0.191</formula>
      <formula>0.24</formula>
    </cfRule>
    <cfRule type="cellIs" dxfId="2187" priority="650" operator="between">
      <formula>0.1251</formula>
      <formula>0.19</formula>
    </cfRule>
    <cfRule type="cellIs" dxfId="2186" priority="651" operator="greaterThan">
      <formula>0.2601</formula>
    </cfRule>
    <cfRule type="cellIs" dxfId="2185" priority="652" operator="between">
      <formula>0.2401</formula>
      <formula>0.26</formula>
    </cfRule>
    <cfRule type="cellIs" dxfId="2184" priority="653" stopIfTrue="1" operator="between">
      <formula>0</formula>
      <formula>0.125</formula>
    </cfRule>
  </conditionalFormatting>
  <conditionalFormatting sqref="J194">
    <cfRule type="cellIs" dxfId="2183" priority="644" operator="between">
      <formula>0.191</formula>
      <formula>0.24</formula>
    </cfRule>
    <cfRule type="cellIs" dxfId="2182" priority="645" operator="between">
      <formula>0.1251</formula>
      <formula>0.19</formula>
    </cfRule>
    <cfRule type="cellIs" dxfId="2181" priority="646" operator="greaterThan">
      <formula>0.2601</formula>
    </cfRule>
    <cfRule type="cellIs" dxfId="2180" priority="647" operator="between">
      <formula>0.2401</formula>
      <formula>0.26</formula>
    </cfRule>
    <cfRule type="cellIs" dxfId="2179" priority="648" stopIfTrue="1" operator="between">
      <formula>0</formula>
      <formula>0.125</formula>
    </cfRule>
  </conditionalFormatting>
  <conditionalFormatting sqref="J195">
    <cfRule type="cellIs" dxfId="2178" priority="639" operator="between">
      <formula>0.191</formula>
      <formula>0.24</formula>
    </cfRule>
    <cfRule type="cellIs" dxfId="2177" priority="640" operator="between">
      <formula>0.1251</formula>
      <formula>0.19</formula>
    </cfRule>
    <cfRule type="cellIs" dxfId="2176" priority="641" operator="greaterThan">
      <formula>0.2601</formula>
    </cfRule>
    <cfRule type="cellIs" dxfId="2175" priority="642" operator="between">
      <formula>0.2401</formula>
      <formula>0.26</formula>
    </cfRule>
    <cfRule type="cellIs" dxfId="2174" priority="643" stopIfTrue="1" operator="between">
      <formula>0</formula>
      <formula>0.125</formula>
    </cfRule>
  </conditionalFormatting>
  <conditionalFormatting sqref="J196">
    <cfRule type="cellIs" dxfId="2173" priority="634" operator="between">
      <formula>0.191</formula>
      <formula>0.24</formula>
    </cfRule>
    <cfRule type="cellIs" dxfId="2172" priority="635" operator="between">
      <formula>0.1251</formula>
      <formula>0.19</formula>
    </cfRule>
    <cfRule type="cellIs" dxfId="2171" priority="636" operator="greaterThan">
      <formula>0.2601</formula>
    </cfRule>
    <cfRule type="cellIs" dxfId="2170" priority="637" operator="between">
      <formula>0.2401</formula>
      <formula>0.26</formula>
    </cfRule>
    <cfRule type="cellIs" dxfId="2169" priority="638" stopIfTrue="1" operator="between">
      <formula>0</formula>
      <formula>0.125</formula>
    </cfRule>
  </conditionalFormatting>
  <conditionalFormatting sqref="J197">
    <cfRule type="cellIs" dxfId="2168" priority="629" operator="between">
      <formula>0.191</formula>
      <formula>0.24</formula>
    </cfRule>
    <cfRule type="cellIs" dxfId="2167" priority="630" operator="between">
      <formula>0.1251</formula>
      <formula>0.19</formula>
    </cfRule>
    <cfRule type="cellIs" dxfId="2166" priority="631" operator="greaterThan">
      <formula>0.2601</formula>
    </cfRule>
    <cfRule type="cellIs" dxfId="2165" priority="632" operator="between">
      <formula>0.2401</formula>
      <formula>0.26</formula>
    </cfRule>
    <cfRule type="cellIs" dxfId="2164" priority="633" stopIfTrue="1" operator="between">
      <formula>0</formula>
      <formula>0.125</formula>
    </cfRule>
  </conditionalFormatting>
  <conditionalFormatting sqref="J198">
    <cfRule type="cellIs" dxfId="2163" priority="614" operator="between">
      <formula>0.191</formula>
      <formula>0.24</formula>
    </cfRule>
    <cfRule type="cellIs" dxfId="2162" priority="615" operator="between">
      <formula>0.1251</formula>
      <formula>0.19</formula>
    </cfRule>
    <cfRule type="cellIs" dxfId="2161" priority="616" operator="greaterThan">
      <formula>0.2601</formula>
    </cfRule>
    <cfRule type="cellIs" dxfId="2160" priority="617" operator="between">
      <formula>0.2401</formula>
      <formula>0.26</formula>
    </cfRule>
    <cfRule type="cellIs" dxfId="2159" priority="618" stopIfTrue="1" operator="between">
      <formula>0</formula>
      <formula>0.125</formula>
    </cfRule>
  </conditionalFormatting>
  <conditionalFormatting sqref="J199">
    <cfRule type="cellIs" dxfId="2158" priority="609" operator="between">
      <formula>0.191</formula>
      <formula>0.24</formula>
    </cfRule>
    <cfRule type="cellIs" dxfId="2157" priority="610" operator="between">
      <formula>0.1251</formula>
      <formula>0.19</formula>
    </cfRule>
    <cfRule type="cellIs" dxfId="2156" priority="611" operator="greaterThan">
      <formula>0.2601</formula>
    </cfRule>
    <cfRule type="cellIs" dxfId="2155" priority="612" operator="between">
      <formula>0.2401</formula>
      <formula>0.26</formula>
    </cfRule>
    <cfRule type="cellIs" dxfId="2154" priority="613" stopIfTrue="1" operator="between">
      <formula>0</formula>
      <formula>0.125</formula>
    </cfRule>
  </conditionalFormatting>
  <conditionalFormatting sqref="J200">
    <cfRule type="cellIs" dxfId="2153" priority="604" operator="between">
      <formula>0.191</formula>
      <formula>0.24</formula>
    </cfRule>
    <cfRule type="cellIs" dxfId="2152" priority="605" operator="between">
      <formula>0.1251</formula>
      <formula>0.19</formula>
    </cfRule>
    <cfRule type="cellIs" dxfId="2151" priority="606" operator="greaterThan">
      <formula>0.2601</formula>
    </cfRule>
    <cfRule type="cellIs" dxfId="2150" priority="607" operator="between">
      <formula>0.2401</formula>
      <formula>0.26</formula>
    </cfRule>
    <cfRule type="cellIs" dxfId="2149" priority="608" stopIfTrue="1" operator="between">
      <formula>0</formula>
      <formula>0.125</formula>
    </cfRule>
  </conditionalFormatting>
  <conditionalFormatting sqref="J201">
    <cfRule type="cellIs" dxfId="2148" priority="599" operator="between">
      <formula>0.191</formula>
      <formula>0.24</formula>
    </cfRule>
    <cfRule type="cellIs" dxfId="2147" priority="600" operator="between">
      <formula>0.1251</formula>
      <formula>0.19</formula>
    </cfRule>
    <cfRule type="cellIs" dxfId="2146" priority="601" operator="greaterThan">
      <formula>0.2601</formula>
    </cfRule>
    <cfRule type="cellIs" dxfId="2145" priority="602" operator="between">
      <formula>0.2401</formula>
      <formula>0.26</formula>
    </cfRule>
    <cfRule type="cellIs" dxfId="2144" priority="603" stopIfTrue="1" operator="between">
      <formula>0</formula>
      <formula>0.125</formula>
    </cfRule>
  </conditionalFormatting>
  <conditionalFormatting sqref="J202">
    <cfRule type="cellIs" dxfId="2143" priority="594" operator="between">
      <formula>0.191</formula>
      <formula>0.24</formula>
    </cfRule>
    <cfRule type="cellIs" dxfId="2142" priority="595" operator="between">
      <formula>0.1251</formula>
      <formula>0.19</formula>
    </cfRule>
    <cfRule type="cellIs" dxfId="2141" priority="596" operator="greaterThan">
      <formula>0.2601</formula>
    </cfRule>
    <cfRule type="cellIs" dxfId="2140" priority="597" operator="between">
      <formula>0.2401</formula>
      <formula>0.26</formula>
    </cfRule>
    <cfRule type="cellIs" dxfId="2139" priority="598" stopIfTrue="1" operator="between">
      <formula>0</formula>
      <formula>0.125</formula>
    </cfRule>
  </conditionalFormatting>
  <conditionalFormatting sqref="J203">
    <cfRule type="cellIs" dxfId="2138" priority="589" operator="between">
      <formula>0.191</formula>
      <formula>0.24</formula>
    </cfRule>
    <cfRule type="cellIs" dxfId="2137" priority="590" operator="between">
      <formula>0.1251</formula>
      <formula>0.19</formula>
    </cfRule>
    <cfRule type="cellIs" dxfId="2136" priority="591" operator="greaterThan">
      <formula>0.2601</formula>
    </cfRule>
    <cfRule type="cellIs" dxfId="2135" priority="592" operator="between">
      <formula>0.2401</formula>
      <formula>0.26</formula>
    </cfRule>
    <cfRule type="cellIs" dxfId="2134" priority="593" stopIfTrue="1" operator="between">
      <formula>0</formula>
      <formula>0.125</formula>
    </cfRule>
  </conditionalFormatting>
  <conditionalFormatting sqref="J204">
    <cfRule type="cellIs" dxfId="2133" priority="584" operator="between">
      <formula>0.191</formula>
      <formula>0.24</formula>
    </cfRule>
    <cfRule type="cellIs" dxfId="2132" priority="585" operator="between">
      <formula>0.1251</formula>
      <formula>0.19</formula>
    </cfRule>
    <cfRule type="cellIs" dxfId="2131" priority="586" operator="greaterThan">
      <formula>0.2601</formula>
    </cfRule>
    <cfRule type="cellIs" dxfId="2130" priority="587" operator="between">
      <formula>0.2401</formula>
      <formula>0.26</formula>
    </cfRule>
    <cfRule type="cellIs" dxfId="2129" priority="588" stopIfTrue="1" operator="between">
      <formula>0</formula>
      <formula>0.125</formula>
    </cfRule>
  </conditionalFormatting>
  <conditionalFormatting sqref="J205">
    <cfRule type="cellIs" dxfId="2128" priority="579" operator="between">
      <formula>0.191</formula>
      <formula>0.24</formula>
    </cfRule>
    <cfRule type="cellIs" dxfId="2127" priority="580" operator="between">
      <formula>0.1251</formula>
      <formula>0.19</formula>
    </cfRule>
    <cfRule type="cellIs" dxfId="2126" priority="581" operator="greaterThan">
      <formula>0.2601</formula>
    </cfRule>
    <cfRule type="cellIs" dxfId="2125" priority="582" operator="between">
      <formula>0.2401</formula>
      <formula>0.26</formula>
    </cfRule>
    <cfRule type="cellIs" dxfId="2124" priority="583" stopIfTrue="1" operator="between">
      <formula>0</formula>
      <formula>0.125</formula>
    </cfRule>
  </conditionalFormatting>
  <conditionalFormatting sqref="J207">
    <cfRule type="cellIs" dxfId="2123" priority="574" operator="between">
      <formula>0.191</formula>
      <formula>0.24</formula>
    </cfRule>
    <cfRule type="cellIs" dxfId="2122" priority="575" operator="between">
      <formula>0.1251</formula>
      <formula>0.19</formula>
    </cfRule>
    <cfRule type="cellIs" dxfId="2121" priority="576" operator="greaterThan">
      <formula>0.2601</formula>
    </cfRule>
    <cfRule type="cellIs" dxfId="2120" priority="577" operator="between">
      <formula>0.2401</formula>
      <formula>0.26</formula>
    </cfRule>
    <cfRule type="cellIs" dxfId="2119" priority="578" stopIfTrue="1" operator="between">
      <formula>0</formula>
      <formula>0.125</formula>
    </cfRule>
  </conditionalFormatting>
  <conditionalFormatting sqref="J208">
    <cfRule type="cellIs" dxfId="2118" priority="569" operator="between">
      <formula>0.191</formula>
      <formula>0.24</formula>
    </cfRule>
    <cfRule type="cellIs" dxfId="2117" priority="570" operator="between">
      <formula>0.1251</formula>
      <formula>0.19</formula>
    </cfRule>
    <cfRule type="cellIs" dxfId="2116" priority="571" operator="greaterThan">
      <formula>0.2601</formula>
    </cfRule>
    <cfRule type="cellIs" dxfId="2115" priority="572" operator="between">
      <formula>0.2401</formula>
      <formula>0.26</formula>
    </cfRule>
    <cfRule type="cellIs" dxfId="2114" priority="573" stopIfTrue="1" operator="between">
      <formula>0</formula>
      <formula>0.125</formula>
    </cfRule>
  </conditionalFormatting>
  <conditionalFormatting sqref="J209">
    <cfRule type="cellIs" dxfId="2113" priority="564" operator="between">
      <formula>0.191</formula>
      <formula>0.24</formula>
    </cfRule>
    <cfRule type="cellIs" dxfId="2112" priority="565" operator="between">
      <formula>0.1251</formula>
      <formula>0.19</formula>
    </cfRule>
    <cfRule type="cellIs" dxfId="2111" priority="566" operator="greaterThan">
      <formula>0.2601</formula>
    </cfRule>
    <cfRule type="cellIs" dxfId="2110" priority="567" operator="between">
      <formula>0.2401</formula>
      <formula>0.26</formula>
    </cfRule>
    <cfRule type="cellIs" dxfId="2109" priority="568" stopIfTrue="1" operator="between">
      <formula>0</formula>
      <formula>0.125</formula>
    </cfRule>
  </conditionalFormatting>
  <conditionalFormatting sqref="J210:J211">
    <cfRule type="cellIs" dxfId="2108" priority="549" operator="between">
      <formula>0.191</formula>
      <formula>0.24</formula>
    </cfRule>
    <cfRule type="cellIs" dxfId="2107" priority="550" operator="between">
      <formula>0.1251</formula>
      <formula>0.19</formula>
    </cfRule>
    <cfRule type="cellIs" dxfId="2106" priority="551" operator="greaterThan">
      <formula>0.2601</formula>
    </cfRule>
    <cfRule type="cellIs" dxfId="2105" priority="552" operator="between">
      <formula>0.2401</formula>
      <formula>0.26</formula>
    </cfRule>
    <cfRule type="cellIs" dxfId="2104" priority="553" stopIfTrue="1" operator="between">
      <formula>0</formula>
      <formula>0.125</formula>
    </cfRule>
  </conditionalFormatting>
  <conditionalFormatting sqref="J212">
    <cfRule type="cellIs" dxfId="2103" priority="544" operator="between">
      <formula>0.191</formula>
      <formula>0.24</formula>
    </cfRule>
    <cfRule type="cellIs" dxfId="2102" priority="545" operator="between">
      <formula>0.1251</formula>
      <formula>0.19</formula>
    </cfRule>
    <cfRule type="cellIs" dxfId="2101" priority="546" operator="greaterThan">
      <formula>0.2601</formula>
    </cfRule>
    <cfRule type="cellIs" dxfId="2100" priority="547" operator="between">
      <formula>0.2401</formula>
      <formula>0.26</formula>
    </cfRule>
    <cfRule type="cellIs" dxfId="2099" priority="548" stopIfTrue="1" operator="between">
      <formula>0</formula>
      <formula>0.125</formula>
    </cfRule>
  </conditionalFormatting>
  <conditionalFormatting sqref="J213">
    <cfRule type="cellIs" dxfId="2098" priority="539" operator="between">
      <formula>0.191</formula>
      <formula>0.24</formula>
    </cfRule>
    <cfRule type="cellIs" dxfId="2097" priority="540" operator="between">
      <formula>0.1251</formula>
      <formula>0.19</formula>
    </cfRule>
    <cfRule type="cellIs" dxfId="2096" priority="541" operator="greaterThan">
      <formula>0.2601</formula>
    </cfRule>
    <cfRule type="cellIs" dxfId="2095" priority="542" operator="between">
      <formula>0.2401</formula>
      <formula>0.26</formula>
    </cfRule>
    <cfRule type="cellIs" dxfId="2094" priority="543" stopIfTrue="1" operator="between">
      <formula>0</formula>
      <formula>0.125</formula>
    </cfRule>
  </conditionalFormatting>
  <conditionalFormatting sqref="J214">
    <cfRule type="cellIs" dxfId="2093" priority="534" operator="between">
      <formula>0.191</formula>
      <formula>0.24</formula>
    </cfRule>
    <cfRule type="cellIs" dxfId="2092" priority="535" operator="between">
      <formula>0.1251</formula>
      <formula>0.19</formula>
    </cfRule>
    <cfRule type="cellIs" dxfId="2091" priority="536" operator="greaterThan">
      <formula>0.2601</formula>
    </cfRule>
    <cfRule type="cellIs" dxfId="2090" priority="537" operator="between">
      <formula>0.2401</formula>
      <formula>0.26</formula>
    </cfRule>
    <cfRule type="cellIs" dxfId="2089" priority="538" stopIfTrue="1" operator="between">
      <formula>0</formula>
      <formula>0.125</formula>
    </cfRule>
  </conditionalFormatting>
  <conditionalFormatting sqref="J215:J217">
    <cfRule type="cellIs" dxfId="2088" priority="514" operator="between">
      <formula>0.191</formula>
      <formula>0.24</formula>
    </cfRule>
    <cfRule type="cellIs" dxfId="2087" priority="515" operator="between">
      <formula>0.1251</formula>
      <formula>0.19</formula>
    </cfRule>
    <cfRule type="cellIs" dxfId="2086" priority="516" operator="greaterThan">
      <formula>0.2601</formula>
    </cfRule>
    <cfRule type="cellIs" dxfId="2085" priority="517" operator="between">
      <formula>0.2401</formula>
      <formula>0.26</formula>
    </cfRule>
    <cfRule type="cellIs" dxfId="2084" priority="518" stopIfTrue="1" operator="between">
      <formula>0</formula>
      <formula>0.125</formula>
    </cfRule>
  </conditionalFormatting>
  <conditionalFormatting sqref="J66">
    <cfRule type="cellIs" dxfId="2083" priority="509" operator="between">
      <formula>0.76</formula>
      <formula>0.95</formula>
    </cfRule>
    <cfRule type="cellIs" dxfId="2082" priority="510" operator="between">
      <formula>0.51</formula>
      <formula>0.75</formula>
    </cfRule>
    <cfRule type="cellIs" dxfId="2081" priority="511" operator="greaterThan">
      <formula>1</formula>
    </cfRule>
    <cfRule type="cellIs" dxfId="2080" priority="512" operator="between">
      <formula>0.95</formula>
      <formula>1</formula>
    </cfRule>
    <cfRule type="cellIs" dxfId="2079" priority="513" stopIfTrue="1" operator="between">
      <formula>0</formula>
      <formula>0.5</formula>
    </cfRule>
  </conditionalFormatting>
  <conditionalFormatting sqref="I102">
    <cfRule type="cellIs" dxfId="2078" priority="501" operator="between">
      <formula>0.76</formula>
      <formula>0.95</formula>
    </cfRule>
    <cfRule type="cellIs" dxfId="2077" priority="502" operator="between">
      <formula>0.51</formula>
      <formula>0.75</formula>
    </cfRule>
    <cfRule type="cellIs" dxfId="2076" priority="503" operator="greaterThan">
      <formula>1</formula>
    </cfRule>
    <cfRule type="cellIs" dxfId="2075" priority="504" operator="between">
      <formula>0.95</formula>
      <formula>1</formula>
    </cfRule>
    <cfRule type="cellIs" dxfId="2074" priority="505" stopIfTrue="1" operator="between">
      <formula>0</formula>
      <formula>0.5</formula>
    </cfRule>
  </conditionalFormatting>
  <conditionalFormatting sqref="J102">
    <cfRule type="cellIs" dxfId="2073" priority="496" operator="between">
      <formula>0.191</formula>
      <formula>0.24</formula>
    </cfRule>
    <cfRule type="cellIs" dxfId="2072" priority="497" operator="between">
      <formula>0.1251</formula>
      <formula>0.19</formula>
    </cfRule>
    <cfRule type="cellIs" dxfId="2071" priority="498" operator="greaterThan">
      <formula>0.2601</formula>
    </cfRule>
    <cfRule type="cellIs" dxfId="2070" priority="499" operator="between">
      <formula>0.2401</formula>
      <formula>0.26</formula>
    </cfRule>
    <cfRule type="cellIs" dxfId="2069" priority="500" stopIfTrue="1" operator="between">
      <formula>0</formula>
      <formula>0.125</formula>
    </cfRule>
  </conditionalFormatting>
  <conditionalFormatting sqref="M102">
    <cfRule type="cellIs" dxfId="2068" priority="488" operator="between">
      <formula>0.76</formula>
      <formula>0.95</formula>
    </cfRule>
    <cfRule type="cellIs" dxfId="2067" priority="489" operator="between">
      <formula>0.51</formula>
      <formula>0.75</formula>
    </cfRule>
    <cfRule type="cellIs" dxfId="2066" priority="490" operator="greaterThan">
      <formula>1</formula>
    </cfRule>
    <cfRule type="cellIs" dxfId="2065" priority="491" operator="between">
      <formula>0.95</formula>
      <formula>1</formula>
    </cfRule>
    <cfRule type="cellIs" dxfId="2064" priority="492" stopIfTrue="1" operator="between">
      <formula>0</formula>
      <formula>0.5</formula>
    </cfRule>
  </conditionalFormatting>
  <conditionalFormatting sqref="N102">
    <cfRule type="cellIs" dxfId="2063" priority="483" operator="between">
      <formula>0.76</formula>
      <formula>0.95</formula>
    </cfRule>
    <cfRule type="cellIs" dxfId="2062" priority="484" operator="between">
      <formula>0.51</formula>
      <formula>0.75</formula>
    </cfRule>
    <cfRule type="cellIs" dxfId="2061" priority="485" operator="greaterThan">
      <formula>1</formula>
    </cfRule>
    <cfRule type="cellIs" dxfId="2060" priority="486" operator="between">
      <formula>0.95</formula>
      <formula>1</formula>
    </cfRule>
    <cfRule type="cellIs" dxfId="2059" priority="487" stopIfTrue="1" operator="between">
      <formula>0</formula>
      <formula>0.5</formula>
    </cfRule>
  </conditionalFormatting>
  <conditionalFormatting sqref="Q102">
    <cfRule type="cellIs" dxfId="2058" priority="475" operator="between">
      <formula>0.76</formula>
      <formula>0.95</formula>
    </cfRule>
    <cfRule type="cellIs" dxfId="2057" priority="476" operator="between">
      <formula>0.51</formula>
      <formula>0.75</formula>
    </cfRule>
    <cfRule type="cellIs" dxfId="2056" priority="477" operator="greaterThan">
      <formula>1</formula>
    </cfRule>
    <cfRule type="cellIs" dxfId="2055" priority="478" operator="between">
      <formula>0.95</formula>
      <formula>1</formula>
    </cfRule>
    <cfRule type="cellIs" dxfId="2054" priority="479" stopIfTrue="1" operator="between">
      <formula>0</formula>
      <formula>0.5</formula>
    </cfRule>
  </conditionalFormatting>
  <conditionalFormatting sqref="R102">
    <cfRule type="cellIs" dxfId="2053" priority="470" operator="between">
      <formula>0.76</formula>
      <formula>0.95</formula>
    </cfRule>
    <cfRule type="cellIs" dxfId="2052" priority="471" operator="between">
      <formula>0.51</formula>
      <formula>0.75</formula>
    </cfRule>
    <cfRule type="cellIs" dxfId="2051" priority="472" operator="greaterThan">
      <formula>1</formula>
    </cfRule>
    <cfRule type="cellIs" dxfId="2050" priority="473" operator="between">
      <formula>0.95</formula>
      <formula>1</formula>
    </cfRule>
    <cfRule type="cellIs" dxfId="2049" priority="474" stopIfTrue="1" operator="between">
      <formula>0</formula>
      <formula>0.5</formula>
    </cfRule>
  </conditionalFormatting>
  <conditionalFormatting sqref="U102">
    <cfRule type="cellIs" dxfId="2048" priority="462" operator="between">
      <formula>0.76</formula>
      <formula>0.95</formula>
    </cfRule>
    <cfRule type="cellIs" dxfId="2047" priority="463" operator="between">
      <formula>0.51</formula>
      <formula>0.75</formula>
    </cfRule>
    <cfRule type="cellIs" dxfId="2046" priority="464" operator="greaterThan">
      <formula>1</formula>
    </cfRule>
    <cfRule type="cellIs" dxfId="2045" priority="465" operator="between">
      <formula>0.95</formula>
      <formula>1</formula>
    </cfRule>
    <cfRule type="cellIs" dxfId="2044" priority="466" stopIfTrue="1" operator="between">
      <formula>0</formula>
      <formula>0.5</formula>
    </cfRule>
  </conditionalFormatting>
  <conditionalFormatting sqref="V102">
    <cfRule type="cellIs" dxfId="2043" priority="457" operator="between">
      <formula>0.76</formula>
      <formula>0.95</formula>
    </cfRule>
    <cfRule type="cellIs" dxfId="2042" priority="458" operator="between">
      <formula>0.51</formula>
      <formula>0.75</formula>
    </cfRule>
    <cfRule type="cellIs" dxfId="2041" priority="459" operator="greaterThan">
      <formula>1</formula>
    </cfRule>
    <cfRule type="cellIs" dxfId="2040" priority="460" operator="between">
      <formula>0.95</formula>
      <formula>1</formula>
    </cfRule>
    <cfRule type="cellIs" dxfId="2039" priority="461" stopIfTrue="1" operator="between">
      <formula>0</formula>
      <formula>0.5</formula>
    </cfRule>
  </conditionalFormatting>
  <conditionalFormatting sqref="I135">
    <cfRule type="cellIs" dxfId="2038" priority="449" operator="between">
      <formula>0.76</formula>
      <formula>0.95</formula>
    </cfRule>
    <cfRule type="cellIs" dxfId="2037" priority="450" operator="between">
      <formula>0.51</formula>
      <formula>0.75</formula>
    </cfRule>
    <cfRule type="cellIs" dxfId="2036" priority="451" operator="greaterThan">
      <formula>1</formula>
    </cfRule>
    <cfRule type="cellIs" dxfId="2035" priority="452" operator="between">
      <formula>0.95</formula>
      <formula>1</formula>
    </cfRule>
    <cfRule type="cellIs" dxfId="2034" priority="453" stopIfTrue="1" operator="between">
      <formula>0</formula>
      <formula>0.5</formula>
    </cfRule>
  </conditionalFormatting>
  <conditionalFormatting sqref="J135">
    <cfRule type="cellIs" dxfId="2033" priority="444" operator="between">
      <formula>0.191</formula>
      <formula>0.24</formula>
    </cfRule>
    <cfRule type="cellIs" dxfId="2032" priority="445" operator="between">
      <formula>0.1251</formula>
      <formula>0.19</formula>
    </cfRule>
    <cfRule type="cellIs" dxfId="2031" priority="446" operator="greaterThan">
      <formula>0.2601</formula>
    </cfRule>
    <cfRule type="cellIs" dxfId="2030" priority="447" operator="between">
      <formula>0.2401</formula>
      <formula>0.26</formula>
    </cfRule>
    <cfRule type="cellIs" dxfId="2029" priority="448" stopIfTrue="1" operator="between">
      <formula>0</formula>
      <formula>0.125</formula>
    </cfRule>
  </conditionalFormatting>
  <conditionalFormatting sqref="M135">
    <cfRule type="cellIs" dxfId="2028" priority="439" operator="between">
      <formula>0.76</formula>
      <formula>0.95</formula>
    </cfRule>
    <cfRule type="cellIs" dxfId="2027" priority="440" operator="between">
      <formula>0.51</formula>
      <formula>0.75</formula>
    </cfRule>
    <cfRule type="cellIs" dxfId="2026" priority="441" operator="greaterThan">
      <formula>1</formula>
    </cfRule>
    <cfRule type="cellIs" dxfId="2025" priority="442" operator="between">
      <formula>0.95</formula>
      <formula>1</formula>
    </cfRule>
    <cfRule type="cellIs" dxfId="2024" priority="443" stopIfTrue="1" operator="between">
      <formula>0</formula>
      <formula>0.5</formula>
    </cfRule>
  </conditionalFormatting>
  <conditionalFormatting sqref="N135">
    <cfRule type="cellIs" dxfId="2023" priority="434" operator="between">
      <formula>0.76</formula>
      <formula>0.95</formula>
    </cfRule>
    <cfRule type="cellIs" dxfId="2022" priority="435" operator="between">
      <formula>0.51</formula>
      <formula>0.75</formula>
    </cfRule>
    <cfRule type="cellIs" dxfId="2021" priority="436" operator="greaterThan">
      <formula>1</formula>
    </cfRule>
    <cfRule type="cellIs" dxfId="2020" priority="437" operator="between">
      <formula>0.95</formula>
      <formula>1</formula>
    </cfRule>
    <cfRule type="cellIs" dxfId="2019" priority="438" stopIfTrue="1" operator="between">
      <formula>0</formula>
      <formula>0.5</formula>
    </cfRule>
  </conditionalFormatting>
  <conditionalFormatting sqref="Q135">
    <cfRule type="cellIs" dxfId="2018" priority="426" operator="between">
      <formula>0.76</formula>
      <formula>0.95</formula>
    </cfRule>
    <cfRule type="cellIs" dxfId="2017" priority="427" operator="between">
      <formula>0.51</formula>
      <formula>0.75</formula>
    </cfRule>
    <cfRule type="cellIs" dxfId="2016" priority="428" operator="greaterThan">
      <formula>1</formula>
    </cfRule>
    <cfRule type="cellIs" dxfId="2015" priority="429" operator="between">
      <formula>0.95</formula>
      <formula>1</formula>
    </cfRule>
    <cfRule type="cellIs" dxfId="2014" priority="430" stopIfTrue="1" operator="between">
      <formula>0</formula>
      <formula>0.5</formula>
    </cfRule>
  </conditionalFormatting>
  <conditionalFormatting sqref="R135">
    <cfRule type="cellIs" dxfId="2013" priority="421" operator="between">
      <formula>0.76</formula>
      <formula>0.95</formula>
    </cfRule>
    <cfRule type="cellIs" dxfId="2012" priority="422" operator="between">
      <formula>0.51</formula>
      <formula>0.75</formula>
    </cfRule>
    <cfRule type="cellIs" dxfId="2011" priority="423" operator="greaterThan">
      <formula>1</formula>
    </cfRule>
    <cfRule type="cellIs" dxfId="2010" priority="424" operator="between">
      <formula>0.95</formula>
      <formula>1</formula>
    </cfRule>
    <cfRule type="cellIs" dxfId="2009" priority="425" stopIfTrue="1" operator="between">
      <formula>0</formula>
      <formula>0.5</formula>
    </cfRule>
  </conditionalFormatting>
  <conditionalFormatting sqref="U135">
    <cfRule type="cellIs" dxfId="2008" priority="413" operator="between">
      <formula>0.76</formula>
      <formula>0.95</formula>
    </cfRule>
    <cfRule type="cellIs" dxfId="2007" priority="414" operator="between">
      <formula>0.51</formula>
      <formula>0.75</formula>
    </cfRule>
    <cfRule type="cellIs" dxfId="2006" priority="415" operator="greaterThan">
      <formula>1</formula>
    </cfRule>
    <cfRule type="cellIs" dxfId="2005" priority="416" operator="between">
      <formula>0.95</formula>
      <formula>1</formula>
    </cfRule>
    <cfRule type="cellIs" dxfId="2004" priority="417" stopIfTrue="1" operator="between">
      <formula>0</formula>
      <formula>0.5</formula>
    </cfRule>
  </conditionalFormatting>
  <conditionalFormatting sqref="V135">
    <cfRule type="cellIs" dxfId="2003" priority="408" operator="between">
      <formula>0.76</formula>
      <formula>0.95</formula>
    </cfRule>
    <cfRule type="cellIs" dxfId="2002" priority="409" operator="between">
      <formula>0.51</formula>
      <formula>0.75</formula>
    </cfRule>
    <cfRule type="cellIs" dxfId="2001" priority="410" operator="greaterThan">
      <formula>1</formula>
    </cfRule>
    <cfRule type="cellIs" dxfId="2000" priority="411" operator="between">
      <formula>0.95</formula>
      <formula>1</formula>
    </cfRule>
    <cfRule type="cellIs" dxfId="1999" priority="412" stopIfTrue="1" operator="between">
      <formula>0</formula>
      <formula>0.5</formula>
    </cfRule>
  </conditionalFormatting>
  <conditionalFormatting sqref="I97">
    <cfRule type="cellIs" dxfId="1998" priority="397" operator="between">
      <formula>0.76</formula>
      <formula>0.95</formula>
    </cfRule>
    <cfRule type="cellIs" dxfId="1997" priority="398" operator="between">
      <formula>0.51</formula>
      <formula>0.75</formula>
    </cfRule>
    <cfRule type="cellIs" dxfId="1996" priority="399" operator="greaterThan">
      <formula>1</formula>
    </cfRule>
    <cfRule type="cellIs" dxfId="1995" priority="400" operator="between">
      <formula>0.95</formula>
      <formula>1</formula>
    </cfRule>
    <cfRule type="cellIs" dxfId="1994" priority="401" stopIfTrue="1" operator="between">
      <formula>0</formula>
      <formula>0.5</formula>
    </cfRule>
  </conditionalFormatting>
  <conditionalFormatting sqref="J97">
    <cfRule type="cellIs" dxfId="1993" priority="392" operator="between">
      <formula>0.191</formula>
      <formula>0.24</formula>
    </cfRule>
    <cfRule type="cellIs" dxfId="1992" priority="393" operator="between">
      <formula>0.1251</formula>
      <formula>0.19</formula>
    </cfRule>
    <cfRule type="cellIs" dxfId="1991" priority="394" operator="greaterThan">
      <formula>0.2601</formula>
    </cfRule>
    <cfRule type="cellIs" dxfId="1990" priority="395" operator="between">
      <formula>0.2401</formula>
      <formula>0.26</formula>
    </cfRule>
    <cfRule type="cellIs" dxfId="1989" priority="396" stopIfTrue="1" operator="between">
      <formula>0</formula>
      <formula>0.125</formula>
    </cfRule>
  </conditionalFormatting>
  <conditionalFormatting sqref="M97">
    <cfRule type="cellIs" dxfId="1988" priority="384" operator="between">
      <formula>0.76</formula>
      <formula>0.95</formula>
    </cfRule>
    <cfRule type="cellIs" dxfId="1987" priority="385" operator="between">
      <formula>0.51</formula>
      <formula>0.75</formula>
    </cfRule>
    <cfRule type="cellIs" dxfId="1986" priority="386" operator="greaterThan">
      <formula>1</formula>
    </cfRule>
    <cfRule type="cellIs" dxfId="1985" priority="387" operator="between">
      <formula>0.95</formula>
      <formula>1</formula>
    </cfRule>
    <cfRule type="cellIs" dxfId="1984" priority="388" stopIfTrue="1" operator="between">
      <formula>0</formula>
      <formula>0.5</formula>
    </cfRule>
  </conditionalFormatting>
  <conditionalFormatting sqref="N97">
    <cfRule type="cellIs" dxfId="1983" priority="379" operator="between">
      <formula>0.76</formula>
      <formula>0.95</formula>
    </cfRule>
    <cfRule type="cellIs" dxfId="1982" priority="380" operator="between">
      <formula>0.51</formula>
      <formula>0.75</formula>
    </cfRule>
    <cfRule type="cellIs" dxfId="1981" priority="381" operator="greaterThan">
      <formula>1</formula>
    </cfRule>
    <cfRule type="cellIs" dxfId="1980" priority="382" operator="between">
      <formula>0.95</formula>
      <formula>1</formula>
    </cfRule>
    <cfRule type="cellIs" dxfId="1979" priority="383" stopIfTrue="1" operator="between">
      <formula>0</formula>
      <formula>0.5</formula>
    </cfRule>
  </conditionalFormatting>
  <conditionalFormatting sqref="Q97">
    <cfRule type="cellIs" dxfId="1978" priority="371" operator="between">
      <formula>0.76</formula>
      <formula>0.95</formula>
    </cfRule>
    <cfRule type="cellIs" dxfId="1977" priority="372" operator="between">
      <formula>0.51</formula>
      <formula>0.75</formula>
    </cfRule>
    <cfRule type="cellIs" dxfId="1976" priority="373" operator="greaterThan">
      <formula>1</formula>
    </cfRule>
    <cfRule type="cellIs" dxfId="1975" priority="374" operator="between">
      <formula>0.95</formula>
      <formula>1</formula>
    </cfRule>
    <cfRule type="cellIs" dxfId="1974" priority="375" stopIfTrue="1" operator="between">
      <formula>0</formula>
      <formula>0.5</formula>
    </cfRule>
  </conditionalFormatting>
  <conditionalFormatting sqref="R97">
    <cfRule type="cellIs" dxfId="1973" priority="366" operator="between">
      <formula>0.76</formula>
      <formula>0.95</formula>
    </cfRule>
    <cfRule type="cellIs" dxfId="1972" priority="367" operator="between">
      <formula>0.51</formula>
      <formula>0.75</formula>
    </cfRule>
    <cfRule type="cellIs" dxfId="1971" priority="368" operator="greaterThan">
      <formula>1</formula>
    </cfRule>
    <cfRule type="cellIs" dxfId="1970" priority="369" operator="between">
      <formula>0.95</formula>
      <formula>1</formula>
    </cfRule>
    <cfRule type="cellIs" dxfId="1969" priority="370" stopIfTrue="1" operator="between">
      <formula>0</formula>
      <formula>0.5</formula>
    </cfRule>
  </conditionalFormatting>
  <conditionalFormatting sqref="U97">
    <cfRule type="cellIs" dxfId="1968" priority="358" operator="between">
      <formula>0.76</formula>
      <formula>0.95</formula>
    </cfRule>
    <cfRule type="cellIs" dxfId="1967" priority="359" operator="between">
      <formula>0.51</formula>
      <formula>0.75</formula>
    </cfRule>
    <cfRule type="cellIs" dxfId="1966" priority="360" operator="greaterThan">
      <formula>1</formula>
    </cfRule>
    <cfRule type="cellIs" dxfId="1965" priority="361" operator="between">
      <formula>0.95</formula>
      <formula>1</formula>
    </cfRule>
    <cfRule type="cellIs" dxfId="1964" priority="362" stopIfTrue="1" operator="between">
      <formula>0</formula>
      <formula>0.5</formula>
    </cfRule>
  </conditionalFormatting>
  <conditionalFormatting sqref="V97">
    <cfRule type="cellIs" dxfId="1963" priority="353" operator="between">
      <formula>0.76</formula>
      <formula>0.95</formula>
    </cfRule>
    <cfRule type="cellIs" dxfId="1962" priority="354" operator="between">
      <formula>0.51</formula>
      <formula>0.75</formula>
    </cfRule>
    <cfRule type="cellIs" dxfId="1961" priority="355" operator="greaterThan">
      <formula>1</formula>
    </cfRule>
    <cfRule type="cellIs" dxfId="1960" priority="356" operator="between">
      <formula>0.95</formula>
      <formula>1</formula>
    </cfRule>
    <cfRule type="cellIs" dxfId="1959" priority="357" stopIfTrue="1" operator="between">
      <formula>0</formula>
      <formula>0.5</formula>
    </cfRule>
  </conditionalFormatting>
  <conditionalFormatting sqref="I76">
    <cfRule type="cellIs" dxfId="1958" priority="345" operator="between">
      <formula>0.76</formula>
      <formula>0.95</formula>
    </cfRule>
    <cfRule type="cellIs" dxfId="1957" priority="346" operator="between">
      <formula>0.51</formula>
      <formula>0.75</formula>
    </cfRule>
    <cfRule type="cellIs" dxfId="1956" priority="347" operator="greaterThan">
      <formula>1</formula>
    </cfRule>
    <cfRule type="cellIs" dxfId="1955" priority="348" operator="between">
      <formula>0.95</formula>
      <formula>1</formula>
    </cfRule>
    <cfRule type="cellIs" dxfId="1954" priority="349" stopIfTrue="1" operator="between">
      <formula>0</formula>
      <formula>0.5</formula>
    </cfRule>
  </conditionalFormatting>
  <conditionalFormatting sqref="J76">
    <cfRule type="cellIs" dxfId="1953" priority="340" operator="between">
      <formula>0.191</formula>
      <formula>0.24</formula>
    </cfRule>
    <cfRule type="cellIs" dxfId="1952" priority="341" operator="between">
      <formula>0.1251</formula>
      <formula>0.19</formula>
    </cfRule>
    <cfRule type="cellIs" dxfId="1951" priority="342" operator="greaterThan">
      <formula>0.2601</formula>
    </cfRule>
    <cfRule type="cellIs" dxfId="1950" priority="343" operator="between">
      <formula>0.2401</formula>
      <formula>0.26</formula>
    </cfRule>
    <cfRule type="cellIs" dxfId="1949" priority="344" stopIfTrue="1" operator="between">
      <formula>0</formula>
      <formula>0.125</formula>
    </cfRule>
  </conditionalFormatting>
  <conditionalFormatting sqref="I77">
    <cfRule type="cellIs" dxfId="1948" priority="332" operator="between">
      <formula>0.76</formula>
      <formula>0.95</formula>
    </cfRule>
    <cfRule type="cellIs" dxfId="1947" priority="333" operator="between">
      <formula>0.51</formula>
      <formula>0.75</formula>
    </cfRule>
    <cfRule type="cellIs" dxfId="1946" priority="334" operator="greaterThan">
      <formula>1</formula>
    </cfRule>
    <cfRule type="cellIs" dxfId="1945" priority="335" operator="between">
      <formula>0.95</formula>
      <formula>1</formula>
    </cfRule>
    <cfRule type="cellIs" dxfId="1944" priority="336" stopIfTrue="1" operator="between">
      <formula>0</formula>
      <formula>0.5</formula>
    </cfRule>
  </conditionalFormatting>
  <conditionalFormatting sqref="J77">
    <cfRule type="cellIs" dxfId="1943" priority="327" operator="between">
      <formula>0.191</formula>
      <formula>0.24</formula>
    </cfRule>
    <cfRule type="cellIs" dxfId="1942" priority="328" operator="between">
      <formula>0.1251</formula>
      <formula>0.19</formula>
    </cfRule>
    <cfRule type="cellIs" dxfId="1941" priority="329" operator="greaterThan">
      <formula>0.2601</formula>
    </cfRule>
    <cfRule type="cellIs" dxfId="1940" priority="330" operator="between">
      <formula>0.2401</formula>
      <formula>0.26</formula>
    </cfRule>
    <cfRule type="cellIs" dxfId="1939" priority="331" stopIfTrue="1" operator="between">
      <formula>0</formula>
      <formula>0.125</formula>
    </cfRule>
  </conditionalFormatting>
  <conditionalFormatting sqref="M76:M77">
    <cfRule type="cellIs" dxfId="1938" priority="316" operator="between">
      <formula>0.76</formula>
      <formula>0.95</formula>
    </cfRule>
    <cfRule type="cellIs" dxfId="1937" priority="317" operator="between">
      <formula>0.51</formula>
      <formula>0.75</formula>
    </cfRule>
    <cfRule type="cellIs" dxfId="1936" priority="318" operator="greaterThan">
      <formula>1</formula>
    </cfRule>
    <cfRule type="cellIs" dxfId="1935" priority="319" operator="between">
      <formula>0.95</formula>
      <formula>1</formula>
    </cfRule>
    <cfRule type="cellIs" dxfId="1934" priority="320" stopIfTrue="1" operator="between">
      <formula>0</formula>
      <formula>0.5</formula>
    </cfRule>
  </conditionalFormatting>
  <conditionalFormatting sqref="N76:N77">
    <cfRule type="cellIs" dxfId="1933" priority="311" operator="between">
      <formula>0.76</formula>
      <formula>0.95</formula>
    </cfRule>
    <cfRule type="cellIs" dxfId="1932" priority="312" operator="between">
      <formula>0.51</formula>
      <formula>0.75</formula>
    </cfRule>
    <cfRule type="cellIs" dxfId="1931" priority="313" operator="greaterThan">
      <formula>1</formula>
    </cfRule>
    <cfRule type="cellIs" dxfId="1930" priority="314" operator="between">
      <formula>0.95</formula>
      <formula>1</formula>
    </cfRule>
    <cfRule type="cellIs" dxfId="1929" priority="315" stopIfTrue="1" operator="between">
      <formula>0</formula>
      <formula>0.5</formula>
    </cfRule>
  </conditionalFormatting>
  <conditionalFormatting sqref="Q76:Q77">
    <cfRule type="cellIs" dxfId="1928" priority="306" operator="between">
      <formula>0.76</formula>
      <formula>0.95</formula>
    </cfRule>
    <cfRule type="cellIs" dxfId="1927" priority="307" operator="between">
      <formula>0.51</formula>
      <formula>0.75</formula>
    </cfRule>
    <cfRule type="cellIs" dxfId="1926" priority="308" operator="greaterThan">
      <formula>1</formula>
    </cfRule>
    <cfRule type="cellIs" dxfId="1925" priority="309" operator="between">
      <formula>0.95</formula>
      <formula>1</formula>
    </cfRule>
    <cfRule type="cellIs" dxfId="1924" priority="310" stopIfTrue="1" operator="between">
      <formula>0</formula>
      <formula>0.5</formula>
    </cfRule>
  </conditionalFormatting>
  <conditionalFormatting sqref="R76:R77">
    <cfRule type="cellIs" dxfId="1923" priority="301" operator="between">
      <formula>0.76</formula>
      <formula>0.95</formula>
    </cfRule>
    <cfRule type="cellIs" dxfId="1922" priority="302" operator="between">
      <formula>0.51</formula>
      <formula>0.75</formula>
    </cfRule>
    <cfRule type="cellIs" dxfId="1921" priority="303" operator="greaterThan">
      <formula>1</formula>
    </cfRule>
    <cfRule type="cellIs" dxfId="1920" priority="304" operator="between">
      <formula>0.95</formula>
      <formula>1</formula>
    </cfRule>
    <cfRule type="cellIs" dxfId="1919" priority="305" stopIfTrue="1" operator="between">
      <formula>0</formula>
      <formula>0.5</formula>
    </cfRule>
  </conditionalFormatting>
  <conditionalFormatting sqref="U76:U77">
    <cfRule type="cellIs" dxfId="1918" priority="293" operator="between">
      <formula>0.76</formula>
      <formula>0.95</formula>
    </cfRule>
    <cfRule type="cellIs" dxfId="1917" priority="294" operator="between">
      <formula>0.51</formula>
      <formula>0.75</formula>
    </cfRule>
    <cfRule type="cellIs" dxfId="1916" priority="295" operator="greaterThan">
      <formula>1</formula>
    </cfRule>
    <cfRule type="cellIs" dxfId="1915" priority="296" operator="between">
      <formula>0.95</formula>
      <formula>1</formula>
    </cfRule>
    <cfRule type="cellIs" dxfId="1914" priority="297" stopIfTrue="1" operator="between">
      <formula>0</formula>
      <formula>0.5</formula>
    </cfRule>
  </conditionalFormatting>
  <conditionalFormatting sqref="V76:V77">
    <cfRule type="cellIs" dxfId="1913" priority="288" operator="between">
      <formula>0.76</formula>
      <formula>0.95</formula>
    </cfRule>
    <cfRule type="cellIs" dxfId="1912" priority="289" operator="between">
      <formula>0.51</formula>
      <formula>0.75</formula>
    </cfRule>
    <cfRule type="cellIs" dxfId="1911" priority="290" operator="greaterThan">
      <formula>1</formula>
    </cfRule>
    <cfRule type="cellIs" dxfId="1910" priority="291" operator="between">
      <formula>0.95</formula>
      <formula>1</formula>
    </cfRule>
    <cfRule type="cellIs" dxfId="1909" priority="292" stopIfTrue="1" operator="between">
      <formula>0</formula>
      <formula>0.5</formula>
    </cfRule>
  </conditionalFormatting>
  <conditionalFormatting sqref="I26">
    <cfRule type="cellIs" dxfId="1908" priority="277" operator="between">
      <formula>0.76</formula>
      <formula>0.95</formula>
    </cfRule>
    <cfRule type="cellIs" dxfId="1907" priority="278" operator="between">
      <formula>0.51</formula>
      <formula>0.75</formula>
    </cfRule>
    <cfRule type="cellIs" dxfId="1906" priority="279" operator="greaterThan">
      <formula>1</formula>
    </cfRule>
    <cfRule type="cellIs" dxfId="1905" priority="280" operator="between">
      <formula>0.95</formula>
      <formula>1</formula>
    </cfRule>
    <cfRule type="cellIs" dxfId="1904" priority="281" stopIfTrue="1" operator="between">
      <formula>0</formula>
      <formula>0.5</formula>
    </cfRule>
  </conditionalFormatting>
  <conditionalFormatting sqref="J26">
    <cfRule type="cellIs" dxfId="1903" priority="272" operator="between">
      <formula>0.191</formula>
      <formula>0.24</formula>
    </cfRule>
    <cfRule type="cellIs" dxfId="1902" priority="273" operator="between">
      <formula>0.1251</formula>
      <formula>0.19</formula>
    </cfRule>
    <cfRule type="cellIs" dxfId="1901" priority="274" operator="greaterThan">
      <formula>0.2601</formula>
    </cfRule>
    <cfRule type="cellIs" dxfId="1900" priority="275" operator="between">
      <formula>0.2401</formula>
      <formula>0.26</formula>
    </cfRule>
    <cfRule type="cellIs" dxfId="1899" priority="276" stopIfTrue="1" operator="between">
      <formula>0</formula>
      <formula>0.125</formula>
    </cfRule>
  </conditionalFormatting>
  <conditionalFormatting sqref="M26">
    <cfRule type="cellIs" dxfId="1898" priority="264" operator="between">
      <formula>0.76</formula>
      <formula>0.95</formula>
    </cfRule>
    <cfRule type="cellIs" dxfId="1897" priority="265" operator="between">
      <formula>0.51</formula>
      <formula>0.75</formula>
    </cfRule>
    <cfRule type="cellIs" dxfId="1896" priority="266" operator="greaterThan">
      <formula>1</formula>
    </cfRule>
    <cfRule type="cellIs" dxfId="1895" priority="267" operator="between">
      <formula>0.95</formula>
      <formula>1</formula>
    </cfRule>
    <cfRule type="cellIs" dxfId="1894" priority="268" stopIfTrue="1" operator="between">
      <formula>0</formula>
      <formula>0.5</formula>
    </cfRule>
  </conditionalFormatting>
  <conditionalFormatting sqref="N26">
    <cfRule type="cellIs" dxfId="1893" priority="259" operator="between">
      <formula>0.76</formula>
      <formula>0.95</formula>
    </cfRule>
    <cfRule type="cellIs" dxfId="1892" priority="260" operator="between">
      <formula>0.51</formula>
      <formula>0.75</formula>
    </cfRule>
    <cfRule type="cellIs" dxfId="1891" priority="261" operator="greaterThan">
      <formula>1</formula>
    </cfRule>
    <cfRule type="cellIs" dxfId="1890" priority="262" operator="between">
      <formula>0.95</formula>
      <formula>1</formula>
    </cfRule>
    <cfRule type="cellIs" dxfId="1889" priority="263" stopIfTrue="1" operator="between">
      <formula>0</formula>
      <formula>0.5</formula>
    </cfRule>
  </conditionalFormatting>
  <conditionalFormatting sqref="Q26">
    <cfRule type="cellIs" dxfId="1888" priority="251" operator="between">
      <formula>0.76</formula>
      <formula>0.95</formula>
    </cfRule>
    <cfRule type="cellIs" dxfId="1887" priority="252" operator="between">
      <formula>0.51</formula>
      <formula>0.75</formula>
    </cfRule>
    <cfRule type="cellIs" dxfId="1886" priority="253" operator="greaterThan">
      <formula>1</formula>
    </cfRule>
    <cfRule type="cellIs" dxfId="1885" priority="254" operator="between">
      <formula>0.95</formula>
      <formula>1</formula>
    </cfRule>
    <cfRule type="cellIs" dxfId="1884" priority="255" stopIfTrue="1" operator="between">
      <formula>0</formula>
      <formula>0.5</formula>
    </cfRule>
  </conditionalFormatting>
  <conditionalFormatting sqref="R26">
    <cfRule type="cellIs" dxfId="1883" priority="246" operator="between">
      <formula>0.76</formula>
      <formula>0.95</formula>
    </cfRule>
    <cfRule type="cellIs" dxfId="1882" priority="247" operator="between">
      <formula>0.51</formula>
      <formula>0.75</formula>
    </cfRule>
    <cfRule type="cellIs" dxfId="1881" priority="248" operator="greaterThan">
      <formula>1</formula>
    </cfRule>
    <cfRule type="cellIs" dxfId="1880" priority="249" operator="between">
      <formula>0.95</formula>
      <formula>1</formula>
    </cfRule>
    <cfRule type="cellIs" dxfId="1879" priority="250" stopIfTrue="1" operator="between">
      <formula>0</formula>
      <formula>0.5</formula>
    </cfRule>
  </conditionalFormatting>
  <conditionalFormatting sqref="U26">
    <cfRule type="cellIs" dxfId="1878" priority="238" operator="between">
      <formula>0.76</formula>
      <formula>0.95</formula>
    </cfRule>
    <cfRule type="cellIs" dxfId="1877" priority="239" operator="between">
      <formula>0.51</formula>
      <formula>0.75</formula>
    </cfRule>
    <cfRule type="cellIs" dxfId="1876" priority="240" operator="greaterThan">
      <formula>1</formula>
    </cfRule>
    <cfRule type="cellIs" dxfId="1875" priority="241" operator="between">
      <formula>0.95</formula>
      <formula>1</formula>
    </cfRule>
    <cfRule type="cellIs" dxfId="1874" priority="242" stopIfTrue="1" operator="between">
      <formula>0</formula>
      <formula>0.5</formula>
    </cfRule>
  </conditionalFormatting>
  <conditionalFormatting sqref="V26">
    <cfRule type="cellIs" dxfId="1873" priority="233" operator="between">
      <formula>0.76</formula>
      <formula>0.95</formula>
    </cfRule>
    <cfRule type="cellIs" dxfId="1872" priority="234" operator="between">
      <formula>0.51</formula>
      <formula>0.75</formula>
    </cfRule>
    <cfRule type="cellIs" dxfId="1871" priority="235" operator="greaterThan">
      <formula>1</formula>
    </cfRule>
    <cfRule type="cellIs" dxfId="1870" priority="236" operator="between">
      <formula>0.95</formula>
      <formula>1</formula>
    </cfRule>
    <cfRule type="cellIs" dxfId="1869" priority="237" stopIfTrue="1" operator="between">
      <formula>0</formula>
      <formula>0.5</formula>
    </cfRule>
  </conditionalFormatting>
  <conditionalFormatting sqref="I100">
    <cfRule type="cellIs" dxfId="1868" priority="225" operator="between">
      <formula>0.76</formula>
      <formula>0.95</formula>
    </cfRule>
    <cfRule type="cellIs" dxfId="1867" priority="226" operator="between">
      <formula>0.51</formula>
      <formula>0.75</formula>
    </cfRule>
    <cfRule type="cellIs" dxfId="1866" priority="227" operator="greaterThan">
      <formula>1</formula>
    </cfRule>
    <cfRule type="cellIs" dxfId="1865" priority="228" operator="between">
      <formula>0.95</formula>
      <formula>1</formula>
    </cfRule>
    <cfRule type="cellIs" dxfId="1864" priority="229" stopIfTrue="1" operator="between">
      <formula>0</formula>
      <formula>0.5</formula>
    </cfRule>
  </conditionalFormatting>
  <conditionalFormatting sqref="J100">
    <cfRule type="cellIs" dxfId="1863" priority="220" operator="between">
      <formula>0.191</formula>
      <formula>0.24</formula>
    </cfRule>
    <cfRule type="cellIs" dxfId="1862" priority="221" operator="between">
      <formula>0.1251</formula>
      <formula>0.19</formula>
    </cfRule>
    <cfRule type="cellIs" dxfId="1861" priority="222" operator="greaterThan">
      <formula>0.2601</formula>
    </cfRule>
    <cfRule type="cellIs" dxfId="1860" priority="223" operator="between">
      <formula>0.2401</formula>
      <formula>0.26</formula>
    </cfRule>
    <cfRule type="cellIs" dxfId="1859" priority="224" stopIfTrue="1" operator="between">
      <formula>0</formula>
      <formula>0.125</formula>
    </cfRule>
  </conditionalFormatting>
  <conditionalFormatting sqref="M100">
    <cfRule type="cellIs" dxfId="1858" priority="215" operator="between">
      <formula>0.76</formula>
      <formula>0.95</formula>
    </cfRule>
    <cfRule type="cellIs" dxfId="1857" priority="216" operator="between">
      <formula>0.51</formula>
      <formula>0.75</formula>
    </cfRule>
    <cfRule type="cellIs" dxfId="1856" priority="217" operator="greaterThan">
      <formula>1</formula>
    </cfRule>
    <cfRule type="cellIs" dxfId="1855" priority="218" operator="between">
      <formula>0.95</formula>
      <formula>1</formula>
    </cfRule>
    <cfRule type="cellIs" dxfId="1854" priority="219" stopIfTrue="1" operator="between">
      <formula>0</formula>
      <formula>0.5</formula>
    </cfRule>
  </conditionalFormatting>
  <conditionalFormatting sqref="N100">
    <cfRule type="cellIs" dxfId="1853" priority="210" operator="between">
      <formula>0.76</formula>
      <formula>0.95</formula>
    </cfRule>
    <cfRule type="cellIs" dxfId="1852" priority="211" operator="between">
      <formula>0.51</formula>
      <formula>0.75</formula>
    </cfRule>
    <cfRule type="cellIs" dxfId="1851" priority="212" operator="greaterThan">
      <formula>1</formula>
    </cfRule>
    <cfRule type="cellIs" dxfId="1850" priority="213" operator="between">
      <formula>0.95</formula>
      <formula>1</formula>
    </cfRule>
    <cfRule type="cellIs" dxfId="1849" priority="214" stopIfTrue="1" operator="between">
      <formula>0</formula>
      <formula>0.5</formula>
    </cfRule>
  </conditionalFormatting>
  <conditionalFormatting sqref="Q100">
    <cfRule type="cellIs" dxfId="1848" priority="202" operator="between">
      <formula>0.76</formula>
      <formula>0.95</formula>
    </cfRule>
    <cfRule type="cellIs" dxfId="1847" priority="203" operator="between">
      <formula>0.51</formula>
      <formula>0.75</formula>
    </cfRule>
    <cfRule type="cellIs" dxfId="1846" priority="204" operator="greaterThan">
      <formula>1</formula>
    </cfRule>
    <cfRule type="cellIs" dxfId="1845" priority="205" operator="between">
      <formula>0.95</formula>
      <formula>1</formula>
    </cfRule>
    <cfRule type="cellIs" dxfId="1844" priority="206" stopIfTrue="1" operator="between">
      <formula>0</formula>
      <formula>0.5</formula>
    </cfRule>
  </conditionalFormatting>
  <conditionalFormatting sqref="R100">
    <cfRule type="cellIs" dxfId="1843" priority="197" operator="between">
      <formula>0.76</formula>
      <formula>0.95</formula>
    </cfRule>
    <cfRule type="cellIs" dxfId="1842" priority="198" operator="between">
      <formula>0.51</formula>
      <formula>0.75</formula>
    </cfRule>
    <cfRule type="cellIs" dxfId="1841" priority="199" operator="greaterThan">
      <formula>1</formula>
    </cfRule>
    <cfRule type="cellIs" dxfId="1840" priority="200" operator="between">
      <formula>0.95</formula>
      <formula>1</formula>
    </cfRule>
    <cfRule type="cellIs" dxfId="1839" priority="201" stopIfTrue="1" operator="between">
      <formula>0</formula>
      <formula>0.5</formula>
    </cfRule>
  </conditionalFormatting>
  <conditionalFormatting sqref="U100">
    <cfRule type="cellIs" dxfId="1838" priority="189" operator="between">
      <formula>0.76</formula>
      <formula>0.95</formula>
    </cfRule>
    <cfRule type="cellIs" dxfId="1837" priority="190" operator="between">
      <formula>0.51</formula>
      <formula>0.75</formula>
    </cfRule>
    <cfRule type="cellIs" dxfId="1836" priority="191" operator="greaterThan">
      <formula>1</formula>
    </cfRule>
    <cfRule type="cellIs" dxfId="1835" priority="192" operator="between">
      <formula>0.95</formula>
      <formula>1</formula>
    </cfRule>
    <cfRule type="cellIs" dxfId="1834" priority="193" stopIfTrue="1" operator="between">
      <formula>0</formula>
      <formula>0.5</formula>
    </cfRule>
  </conditionalFormatting>
  <conditionalFormatting sqref="V100">
    <cfRule type="cellIs" dxfId="1833" priority="184" operator="between">
      <formula>0.76</formula>
      <formula>0.95</formula>
    </cfRule>
    <cfRule type="cellIs" dxfId="1832" priority="185" operator="between">
      <formula>0.51</formula>
      <formula>0.75</formula>
    </cfRule>
    <cfRule type="cellIs" dxfId="1831" priority="186" operator="greaterThan">
      <formula>1</formula>
    </cfRule>
    <cfRule type="cellIs" dxfId="1830" priority="187" operator="between">
      <formula>0.95</formula>
      <formula>1</formula>
    </cfRule>
    <cfRule type="cellIs" dxfId="1829" priority="188" stopIfTrue="1" operator="between">
      <formula>0</formula>
      <formula>0.5</formula>
    </cfRule>
  </conditionalFormatting>
  <conditionalFormatting sqref="I87">
    <cfRule type="cellIs" dxfId="1828" priority="173" operator="between">
      <formula>0.76</formula>
      <formula>0.95</formula>
    </cfRule>
    <cfRule type="cellIs" dxfId="1827" priority="174" operator="between">
      <formula>0.51</formula>
      <formula>0.75</formula>
    </cfRule>
    <cfRule type="cellIs" dxfId="1826" priority="175" operator="greaterThan">
      <formula>1</formula>
    </cfRule>
    <cfRule type="cellIs" dxfId="1825" priority="176" operator="between">
      <formula>0.95</formula>
      <formula>1</formula>
    </cfRule>
    <cfRule type="cellIs" dxfId="1824" priority="177" stopIfTrue="1" operator="between">
      <formula>0</formula>
      <formula>0.5</formula>
    </cfRule>
  </conditionalFormatting>
  <conditionalFormatting sqref="J87">
    <cfRule type="cellIs" dxfId="1823" priority="168" operator="between">
      <formula>0.191</formula>
      <formula>0.24</formula>
    </cfRule>
    <cfRule type="cellIs" dxfId="1822" priority="169" operator="between">
      <formula>0.1251</formula>
      <formula>0.19</formula>
    </cfRule>
    <cfRule type="cellIs" dxfId="1821" priority="170" operator="greaterThan">
      <formula>0.2601</formula>
    </cfRule>
    <cfRule type="cellIs" dxfId="1820" priority="171" operator="between">
      <formula>0.2401</formula>
      <formula>0.26</formula>
    </cfRule>
    <cfRule type="cellIs" dxfId="1819" priority="172" stopIfTrue="1" operator="between">
      <formula>0</formula>
      <formula>0.125</formula>
    </cfRule>
  </conditionalFormatting>
  <conditionalFormatting sqref="M87">
    <cfRule type="cellIs" dxfId="1818" priority="163" operator="between">
      <formula>0.76</formula>
      <formula>0.95</formula>
    </cfRule>
    <cfRule type="cellIs" dxfId="1817" priority="164" operator="between">
      <formula>0.51</formula>
      <formula>0.75</formula>
    </cfRule>
    <cfRule type="cellIs" dxfId="1816" priority="165" operator="greaterThan">
      <formula>1</formula>
    </cfRule>
    <cfRule type="cellIs" dxfId="1815" priority="166" operator="between">
      <formula>0.95</formula>
      <formula>1</formula>
    </cfRule>
    <cfRule type="cellIs" dxfId="1814" priority="167" stopIfTrue="1" operator="between">
      <formula>0</formula>
      <formula>0.5</formula>
    </cfRule>
  </conditionalFormatting>
  <conditionalFormatting sqref="N87">
    <cfRule type="cellIs" dxfId="1813" priority="158" operator="between">
      <formula>0.76</formula>
      <formula>0.95</formula>
    </cfRule>
    <cfRule type="cellIs" dxfId="1812" priority="159" operator="between">
      <formula>0.51</formula>
      <formula>0.75</formula>
    </cfRule>
    <cfRule type="cellIs" dxfId="1811" priority="160" operator="greaterThan">
      <formula>1</formula>
    </cfRule>
    <cfRule type="cellIs" dxfId="1810" priority="161" operator="between">
      <formula>0.95</formula>
      <formula>1</formula>
    </cfRule>
    <cfRule type="cellIs" dxfId="1809" priority="162" stopIfTrue="1" operator="between">
      <formula>0</formula>
      <formula>0.5</formula>
    </cfRule>
  </conditionalFormatting>
  <conditionalFormatting sqref="Q87">
    <cfRule type="cellIs" dxfId="1808" priority="147" operator="between">
      <formula>0.76</formula>
      <formula>0.95</formula>
    </cfRule>
    <cfRule type="cellIs" dxfId="1807" priority="148" operator="between">
      <formula>0.51</formula>
      <formula>0.75</formula>
    </cfRule>
    <cfRule type="cellIs" dxfId="1806" priority="149" operator="greaterThan">
      <formula>1</formula>
    </cfRule>
    <cfRule type="cellIs" dxfId="1805" priority="150" operator="between">
      <formula>0.95</formula>
      <formula>1</formula>
    </cfRule>
    <cfRule type="cellIs" dxfId="1804" priority="151" stopIfTrue="1" operator="between">
      <formula>0</formula>
      <formula>0.5</formula>
    </cfRule>
  </conditionalFormatting>
  <conditionalFormatting sqref="R87">
    <cfRule type="cellIs" dxfId="1803" priority="142" operator="between">
      <formula>0.76</formula>
      <formula>0.95</formula>
    </cfRule>
    <cfRule type="cellIs" dxfId="1802" priority="143" operator="between">
      <formula>0.51</formula>
      <formula>0.75</formula>
    </cfRule>
    <cfRule type="cellIs" dxfId="1801" priority="144" operator="greaterThan">
      <formula>1</formula>
    </cfRule>
    <cfRule type="cellIs" dxfId="1800" priority="145" operator="between">
      <formula>0.95</formula>
      <formula>1</formula>
    </cfRule>
    <cfRule type="cellIs" dxfId="1799" priority="146" stopIfTrue="1" operator="between">
      <formula>0</formula>
      <formula>0.5</formula>
    </cfRule>
  </conditionalFormatting>
  <conditionalFormatting sqref="U87">
    <cfRule type="cellIs" dxfId="1798" priority="137" operator="between">
      <formula>0.76</formula>
      <formula>0.95</formula>
    </cfRule>
    <cfRule type="cellIs" dxfId="1797" priority="138" operator="between">
      <formula>0.51</formula>
      <formula>0.75</formula>
    </cfRule>
    <cfRule type="cellIs" dxfId="1796" priority="139" operator="greaterThan">
      <formula>1</formula>
    </cfRule>
    <cfRule type="cellIs" dxfId="1795" priority="140" operator="between">
      <formula>0.95</formula>
      <formula>1</formula>
    </cfRule>
    <cfRule type="cellIs" dxfId="1794" priority="141" stopIfTrue="1" operator="between">
      <formula>0</formula>
      <formula>0.5</formula>
    </cfRule>
  </conditionalFormatting>
  <conditionalFormatting sqref="V87">
    <cfRule type="cellIs" dxfId="1793" priority="132" operator="between">
      <formula>0.76</formula>
      <formula>0.95</formula>
    </cfRule>
    <cfRule type="cellIs" dxfId="1792" priority="133" operator="between">
      <formula>0.51</formula>
      <formula>0.75</formula>
    </cfRule>
    <cfRule type="cellIs" dxfId="1791" priority="134" operator="greaterThan">
      <formula>1</formula>
    </cfRule>
    <cfRule type="cellIs" dxfId="1790" priority="135" operator="between">
      <formula>0.95</formula>
      <formula>1</formula>
    </cfRule>
    <cfRule type="cellIs" dxfId="1789" priority="136" stopIfTrue="1" operator="between">
      <formula>0</formula>
      <formula>0.5</formula>
    </cfRule>
  </conditionalFormatting>
  <conditionalFormatting sqref="I206">
    <cfRule type="cellIs" dxfId="1788" priority="118" operator="between">
      <formula>0.76</formula>
      <formula>0.95</formula>
    </cfRule>
    <cfRule type="cellIs" dxfId="1787" priority="119" operator="between">
      <formula>0.51</formula>
      <formula>0.75</formula>
    </cfRule>
    <cfRule type="cellIs" dxfId="1786" priority="120" operator="greaterThan">
      <formula>1</formula>
    </cfRule>
    <cfRule type="cellIs" dxfId="1785" priority="121" operator="between">
      <formula>0.95</formula>
      <formula>1</formula>
    </cfRule>
    <cfRule type="cellIs" dxfId="1784" priority="122" stopIfTrue="1" operator="between">
      <formula>0</formula>
      <formula>0.5</formula>
    </cfRule>
  </conditionalFormatting>
  <conditionalFormatting sqref="J206">
    <cfRule type="cellIs" dxfId="1783" priority="113" operator="between">
      <formula>0.191</formula>
      <formula>0.24</formula>
    </cfRule>
    <cfRule type="cellIs" dxfId="1782" priority="114" operator="between">
      <formula>0.1251</formula>
      <formula>0.19</formula>
    </cfRule>
    <cfRule type="cellIs" dxfId="1781" priority="115" operator="greaterThan">
      <formula>0.2601</formula>
    </cfRule>
    <cfRule type="cellIs" dxfId="1780" priority="116" operator="between">
      <formula>0.2401</formula>
      <formula>0.26</formula>
    </cfRule>
    <cfRule type="cellIs" dxfId="1779" priority="117" stopIfTrue="1" operator="between">
      <formula>0</formula>
      <formula>0.125</formula>
    </cfRule>
  </conditionalFormatting>
  <conditionalFormatting sqref="I62">
    <cfRule type="cellIs" dxfId="1778" priority="105" operator="between">
      <formula>0.76</formula>
      <formula>0.95</formula>
    </cfRule>
    <cfRule type="cellIs" dxfId="1777" priority="106" operator="between">
      <formula>0.51</formula>
      <formula>0.75</formula>
    </cfRule>
    <cfRule type="cellIs" dxfId="1776" priority="107" operator="greaterThan">
      <formula>1</formula>
    </cfRule>
    <cfRule type="cellIs" dxfId="1775" priority="108" operator="between">
      <formula>0.95</formula>
      <formula>1</formula>
    </cfRule>
    <cfRule type="cellIs" dxfId="1774" priority="109" stopIfTrue="1" operator="between">
      <formula>0</formula>
      <formula>0.5</formula>
    </cfRule>
  </conditionalFormatting>
  <conditionalFormatting sqref="J62">
    <cfRule type="cellIs" dxfId="1773" priority="100" operator="between">
      <formula>0.191</formula>
      <formula>0.24</formula>
    </cfRule>
    <cfRule type="cellIs" dxfId="1772" priority="101" operator="between">
      <formula>0.1251</formula>
      <formula>0.19</formula>
    </cfRule>
    <cfRule type="cellIs" dxfId="1771" priority="102" operator="greaterThan">
      <formula>0.2601</formula>
    </cfRule>
    <cfRule type="cellIs" dxfId="1770" priority="103" operator="between">
      <formula>0.2401</formula>
      <formula>0.26</formula>
    </cfRule>
    <cfRule type="cellIs" dxfId="1769" priority="104" stopIfTrue="1" operator="between">
      <formula>0</formula>
      <formula>0.125</formula>
    </cfRule>
  </conditionalFormatting>
  <conditionalFormatting sqref="M62">
    <cfRule type="cellIs" dxfId="1768" priority="95" operator="between">
      <formula>0.76</formula>
      <formula>0.95</formula>
    </cfRule>
    <cfRule type="cellIs" dxfId="1767" priority="96" operator="between">
      <formula>0.51</formula>
      <formula>0.75</formula>
    </cfRule>
    <cfRule type="cellIs" dxfId="1766" priority="97" operator="greaterThan">
      <formula>1</formula>
    </cfRule>
    <cfRule type="cellIs" dxfId="1765" priority="98" operator="between">
      <formula>0.95</formula>
      <formula>1</formula>
    </cfRule>
    <cfRule type="cellIs" dxfId="1764" priority="99" stopIfTrue="1" operator="between">
      <formula>0</formula>
      <formula>0.5</formula>
    </cfRule>
  </conditionalFormatting>
  <conditionalFormatting sqref="N62">
    <cfRule type="cellIs" dxfId="1763" priority="90" operator="between">
      <formula>0.76</formula>
      <formula>0.95</formula>
    </cfRule>
    <cfRule type="cellIs" dxfId="1762" priority="91" operator="between">
      <formula>0.51</formula>
      <formula>0.75</formula>
    </cfRule>
    <cfRule type="cellIs" dxfId="1761" priority="92" operator="greaterThan">
      <formula>1</formula>
    </cfRule>
    <cfRule type="cellIs" dxfId="1760" priority="93" operator="between">
      <formula>0.95</formula>
      <formula>1</formula>
    </cfRule>
    <cfRule type="cellIs" dxfId="1759" priority="94" stopIfTrue="1" operator="between">
      <formula>0</formula>
      <formula>0.5</formula>
    </cfRule>
  </conditionalFormatting>
  <conditionalFormatting sqref="Q62">
    <cfRule type="cellIs" dxfId="1758" priority="82" operator="between">
      <formula>0.76</formula>
      <formula>0.95</formula>
    </cfRule>
    <cfRule type="cellIs" dxfId="1757" priority="83" operator="between">
      <formula>0.51</formula>
      <formula>0.75</formula>
    </cfRule>
    <cfRule type="cellIs" dxfId="1756" priority="84" operator="greaterThan">
      <formula>1</formula>
    </cfRule>
    <cfRule type="cellIs" dxfId="1755" priority="85" operator="between">
      <formula>0.95</formula>
      <formula>1</formula>
    </cfRule>
    <cfRule type="cellIs" dxfId="1754" priority="86" stopIfTrue="1" operator="between">
      <formula>0</formula>
      <formula>0.5</formula>
    </cfRule>
  </conditionalFormatting>
  <conditionalFormatting sqref="R62">
    <cfRule type="cellIs" dxfId="1753" priority="77" operator="between">
      <formula>0.76</formula>
      <formula>0.95</formula>
    </cfRule>
    <cfRule type="cellIs" dxfId="1752" priority="78" operator="between">
      <formula>0.51</formula>
      <formula>0.75</formula>
    </cfRule>
    <cfRule type="cellIs" dxfId="1751" priority="79" operator="greaterThan">
      <formula>1</formula>
    </cfRule>
    <cfRule type="cellIs" dxfId="1750" priority="80" operator="between">
      <formula>0.95</formula>
      <formula>1</formula>
    </cfRule>
    <cfRule type="cellIs" dxfId="1749" priority="81" stopIfTrue="1" operator="between">
      <formula>0</formula>
      <formula>0.5</formula>
    </cfRule>
  </conditionalFormatting>
  <conditionalFormatting sqref="U62">
    <cfRule type="cellIs" dxfId="1748" priority="69" operator="between">
      <formula>0.76</formula>
      <formula>0.95</formula>
    </cfRule>
    <cfRule type="cellIs" dxfId="1747" priority="70" operator="between">
      <formula>0.51</formula>
      <formula>0.75</formula>
    </cfRule>
    <cfRule type="cellIs" dxfId="1746" priority="71" operator="greaterThan">
      <formula>1</formula>
    </cfRule>
    <cfRule type="cellIs" dxfId="1745" priority="72" operator="between">
      <formula>0.95</formula>
      <formula>1</formula>
    </cfRule>
    <cfRule type="cellIs" dxfId="1744" priority="73" stopIfTrue="1" operator="between">
      <formula>0</formula>
      <formula>0.5</formula>
    </cfRule>
  </conditionalFormatting>
  <conditionalFormatting sqref="V62">
    <cfRule type="cellIs" dxfId="1743" priority="64" operator="between">
      <formula>0.76</formula>
      <formula>0.95</formula>
    </cfRule>
    <cfRule type="cellIs" dxfId="1742" priority="65" operator="between">
      <formula>0.51</formula>
      <formula>0.75</formula>
    </cfRule>
    <cfRule type="cellIs" dxfId="1741" priority="66" operator="greaterThan">
      <formula>1</formula>
    </cfRule>
    <cfRule type="cellIs" dxfId="1740" priority="67" operator="between">
      <formula>0.95</formula>
      <formula>1</formula>
    </cfRule>
    <cfRule type="cellIs" dxfId="1739" priority="68" stopIfTrue="1" operator="between">
      <formula>0</formula>
      <formula>0.5</formula>
    </cfRule>
  </conditionalFormatting>
  <conditionalFormatting sqref="M206">
    <cfRule type="cellIs" dxfId="859" priority="56" operator="between">
      <formula>0.76</formula>
      <formula>0.95</formula>
    </cfRule>
    <cfRule type="cellIs" dxfId="858" priority="57" operator="between">
      <formula>0.51</formula>
      <formula>0.75</formula>
    </cfRule>
    <cfRule type="cellIs" dxfId="857" priority="58" operator="greaterThan">
      <formula>1</formula>
    </cfRule>
    <cfRule type="cellIs" dxfId="856" priority="59" operator="between">
      <formula>0.95</formula>
      <formula>1</formula>
    </cfRule>
    <cfRule type="cellIs" dxfId="855" priority="60" stopIfTrue="1" operator="between">
      <formula>0</formula>
      <formula>0.5</formula>
    </cfRule>
  </conditionalFormatting>
  <conditionalFormatting sqref="N206">
    <cfRule type="cellIs" dxfId="854" priority="51" operator="between">
      <formula>0.76</formula>
      <formula>0.95</formula>
    </cfRule>
    <cfRule type="cellIs" dxfId="853" priority="52" operator="between">
      <formula>0.51</formula>
      <formula>0.75</formula>
    </cfRule>
    <cfRule type="cellIs" dxfId="852" priority="53" operator="greaterThan">
      <formula>1</formula>
    </cfRule>
    <cfRule type="cellIs" dxfId="851" priority="54" operator="between">
      <formula>0.95</formula>
      <formula>1</formula>
    </cfRule>
    <cfRule type="cellIs" dxfId="850" priority="55" stopIfTrue="1" operator="between">
      <formula>0</formula>
      <formula>0.5</formula>
    </cfRule>
  </conditionalFormatting>
  <conditionalFormatting sqref="Q206">
    <cfRule type="cellIs" dxfId="849" priority="43" operator="between">
      <formula>0.76</formula>
      <formula>0.95</formula>
    </cfRule>
    <cfRule type="cellIs" dxfId="848" priority="44" operator="between">
      <formula>0.51</formula>
      <formula>0.75</formula>
    </cfRule>
    <cfRule type="cellIs" dxfId="847" priority="45" operator="greaterThan">
      <formula>1</formula>
    </cfRule>
    <cfRule type="cellIs" dxfId="846" priority="46" operator="between">
      <formula>0.95</formula>
      <formula>1</formula>
    </cfRule>
    <cfRule type="cellIs" dxfId="845" priority="47" stopIfTrue="1" operator="between">
      <formula>0</formula>
      <formula>0.5</formula>
    </cfRule>
  </conditionalFormatting>
  <conditionalFormatting sqref="R206">
    <cfRule type="cellIs" dxfId="844" priority="38" operator="between">
      <formula>0.76</formula>
      <formula>0.95</formula>
    </cfRule>
    <cfRule type="cellIs" dxfId="843" priority="39" operator="between">
      <formula>0.51</formula>
      <formula>0.75</formula>
    </cfRule>
    <cfRule type="cellIs" dxfId="842" priority="40" operator="greaterThan">
      <formula>1</formula>
    </cfRule>
    <cfRule type="cellIs" dxfId="841" priority="41" operator="between">
      <formula>0.95</formula>
      <formula>1</formula>
    </cfRule>
    <cfRule type="cellIs" dxfId="840" priority="42" stopIfTrue="1" operator="between">
      <formula>0</formula>
      <formula>0.5</formula>
    </cfRule>
  </conditionalFormatting>
  <conditionalFormatting sqref="U206">
    <cfRule type="cellIs" dxfId="839" priority="30" operator="between">
      <formula>0.76</formula>
      <formula>0.95</formula>
    </cfRule>
    <cfRule type="cellIs" dxfId="838" priority="31" operator="between">
      <formula>0.51</formula>
      <formula>0.75</formula>
    </cfRule>
    <cfRule type="cellIs" dxfId="837" priority="32" operator="greaterThan">
      <formula>1</formula>
    </cfRule>
    <cfRule type="cellIs" dxfId="836" priority="33" operator="between">
      <formula>0.95</formula>
      <formula>1</formula>
    </cfRule>
    <cfRule type="cellIs" dxfId="835" priority="34" stopIfTrue="1" operator="between">
      <formula>0</formula>
      <formula>0.5</formula>
    </cfRule>
  </conditionalFormatting>
  <conditionalFormatting sqref="V206">
    <cfRule type="cellIs" dxfId="834" priority="25" operator="between">
      <formula>0.76</formula>
      <formula>0.95</formula>
    </cfRule>
    <cfRule type="cellIs" dxfId="833" priority="26" operator="between">
      <formula>0.51</formula>
      <formula>0.75</formula>
    </cfRule>
    <cfRule type="cellIs" dxfId="832" priority="27" operator="greaterThan">
      <formula>1</formula>
    </cfRule>
    <cfRule type="cellIs" dxfId="831" priority="28" operator="between">
      <formula>0.95</formula>
      <formula>1</formula>
    </cfRule>
    <cfRule type="cellIs" dxfId="830" priority="29" stopIfTrue="1" operator="between">
      <formula>0</formula>
      <formula>0.5</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377" id="{7D7DE63B-5E55-4D88-AB07-4FB52BF8C37A}">
            <xm:f>AND(IF(H29&gt;'Plan de Accion 2018'!X104,H29&lt;&gt;¨N/A¨))</xm:f>
            <x14:dxf>
              <fill>
                <patternFill>
                  <bgColor theme="1" tint="0.499984740745262"/>
                </patternFill>
              </fill>
            </x14:dxf>
          </x14:cfRule>
          <x14:cfRule type="expression" priority="18164" stopIfTrue="1" id="{00000000-000E-0000-0300-0000FA060000}">
            <xm:f>AND(IF(H29='Plan de Accion 2018'!X104,H29&lt;&gt;"N/A"))</xm:f>
            <x14:dxf>
              <fill>
                <patternFill>
                  <bgColor rgb="FF00B050"/>
                </patternFill>
              </fill>
            </x14:dxf>
          </x14:cfRule>
          <x14:cfRule type="expression" priority="18166" stopIfTrue="1" id="{00000000-000E-0000-0300-0000FC060000}">
            <xm:f>AND(IF(H29&lt;'Plan de Accion 2018'!X104,H29&lt;&gt;"N/A"))</xm:f>
            <x14:dxf>
              <fill>
                <patternFill>
                  <bgColor indexed="10"/>
                </patternFill>
              </fill>
            </x14:dxf>
          </x14:cfRule>
          <xm:sqref>H75:H78 H29</xm:sqref>
        </x14:conditionalFormatting>
        <x14:conditionalFormatting xmlns:xm="http://schemas.microsoft.com/office/excel/2006/main">
          <x14:cfRule type="expression" priority="16172" id="{374B9984-C349-4B39-BEE8-8E62463B9BB8}">
            <xm:f>AND(IF(H34&gt;'Plan de Accion 2018'!X9,H34&lt;&gt;¨N/A¨))</xm:f>
            <x14:dxf>
              <fill>
                <patternFill>
                  <bgColor theme="1" tint="0.499984740745262"/>
                </patternFill>
              </fill>
            </x14:dxf>
          </x14:cfRule>
          <x14:cfRule type="expression" priority="16173" stopIfTrue="1" id="{FCA5533B-7C93-4E6E-BD83-04B517DCF5BB}">
            <xm:f>AND(IF(H34='Plan de Accion 2018'!X9,H34&lt;&gt;"N/A"))</xm:f>
            <x14:dxf>
              <fill>
                <patternFill>
                  <bgColor rgb="FF00B050"/>
                </patternFill>
              </fill>
            </x14:dxf>
          </x14:cfRule>
          <x14:cfRule type="expression" priority="16174" stopIfTrue="1" id="{3917D00B-4063-4310-8EF2-9336F8BAE893}">
            <xm:f>AND(IF(H34&lt;'Plan de Accion 2018'!X9,H34&lt;&gt;"N/A"))</xm:f>
            <x14:dxf>
              <fill>
                <patternFill>
                  <bgColor indexed="10"/>
                </patternFill>
              </fill>
            </x14:dxf>
          </x14:cfRule>
          <xm:sqref>H34 H150:H153</xm:sqref>
        </x14:conditionalFormatting>
        <x14:conditionalFormatting xmlns:xm="http://schemas.microsoft.com/office/excel/2006/main">
          <x14:cfRule type="expression" priority="16166" id="{15910998-0129-4DFE-A9D7-2A5995B422E7}">
            <xm:f>AND(IF(H35&gt;'Plan de Accion 2018'!X142,H35&lt;&gt;¨N/A¨))</xm:f>
            <x14:dxf>
              <fill>
                <patternFill>
                  <bgColor theme="1" tint="0.499984740745262"/>
                </patternFill>
              </fill>
            </x14:dxf>
          </x14:cfRule>
          <x14:cfRule type="expression" priority="16167" stopIfTrue="1" id="{4AEC7DDB-9BA9-4EEA-AD17-2A8C5185CF9E}">
            <xm:f>AND(IF(H35='Plan de Accion 2018'!X142,H35&lt;&gt;"N/A"))</xm:f>
            <x14:dxf>
              <fill>
                <patternFill>
                  <bgColor rgb="FF00B050"/>
                </patternFill>
              </fill>
            </x14:dxf>
          </x14:cfRule>
          <x14:cfRule type="expression" priority="16168" stopIfTrue="1" id="{CC1D1C7A-F5A4-4539-92E8-F46742F4A70A}">
            <xm:f>AND(IF(H35&lt;'Plan de Accion 2018'!X142,H35&lt;&gt;"N/A"))</xm:f>
            <x14:dxf>
              <fill>
                <patternFill>
                  <bgColor indexed="10"/>
                </patternFill>
              </fill>
            </x14:dxf>
          </x14:cfRule>
          <xm:sqref>H35</xm:sqref>
        </x14:conditionalFormatting>
        <x14:conditionalFormatting xmlns:xm="http://schemas.microsoft.com/office/excel/2006/main">
          <x14:cfRule type="expression" priority="16091" id="{052C392E-AA47-4103-B6F0-E95620724C66}">
            <xm:f>AND(IF(H37&gt;'Plan de Accion 2018'!X15,H37&lt;&gt;¨N/A¨))</xm:f>
            <x14:dxf>
              <fill>
                <patternFill>
                  <bgColor theme="1" tint="0.499984740745262"/>
                </patternFill>
              </fill>
            </x14:dxf>
          </x14:cfRule>
          <x14:cfRule type="expression" priority="16092" stopIfTrue="1" id="{B72CA923-DECC-40D9-AC7C-4D3A8D6BB28E}">
            <xm:f>AND(IF(H37='Plan de Accion 2018'!X15,H37&lt;&gt;"N/A"))</xm:f>
            <x14:dxf>
              <fill>
                <patternFill>
                  <bgColor rgb="FF00B050"/>
                </patternFill>
              </fill>
            </x14:dxf>
          </x14:cfRule>
          <x14:cfRule type="expression" priority="16093" stopIfTrue="1" id="{CA3316FF-A988-4480-8E74-B7ABC51372FD}">
            <xm:f>AND(IF(H37&lt;'Plan de Accion 2018'!X15,H37&lt;&gt;"N/A"))</xm:f>
            <x14:dxf>
              <fill>
                <patternFill>
                  <bgColor indexed="10"/>
                </patternFill>
              </fill>
            </x14:dxf>
          </x14:cfRule>
          <xm:sqref>H154:H156 H37:H59</xm:sqref>
        </x14:conditionalFormatting>
        <x14:conditionalFormatting xmlns:xm="http://schemas.microsoft.com/office/excel/2006/main">
          <x14:cfRule type="expression" priority="16082" id="{C6AADA74-C14F-4565-9C53-5A11C1734B89}">
            <xm:f>AND(IF(H65&gt;'Plan de Accion 2018'!X80,H65&lt;&gt;¨N/A¨))</xm:f>
            <x14:dxf>
              <fill>
                <patternFill>
                  <bgColor theme="1" tint="0.499984740745262"/>
                </patternFill>
              </fill>
            </x14:dxf>
          </x14:cfRule>
          <x14:cfRule type="expression" priority="16083" stopIfTrue="1" id="{31AC552F-C835-4304-B7F0-F966972CDD16}">
            <xm:f>AND(IF(H65='Plan de Accion 2018'!X80,H65&lt;&gt;"N/A"))</xm:f>
            <x14:dxf>
              <fill>
                <patternFill>
                  <bgColor rgb="FF00B050"/>
                </patternFill>
              </fill>
            </x14:dxf>
          </x14:cfRule>
          <x14:cfRule type="expression" priority="16084" stopIfTrue="1" id="{1100336D-8668-4BD2-9ED2-A9752E38164B}">
            <xm:f>AND(IF(H65&lt;'Plan de Accion 2018'!X80,H65&lt;&gt;"N/A"))</xm:f>
            <x14:dxf>
              <fill>
                <patternFill>
                  <bgColor indexed="10"/>
                </patternFill>
              </fill>
            </x14:dxf>
          </x14:cfRule>
          <xm:sqref>H65:H67</xm:sqref>
        </x14:conditionalFormatting>
        <x14:conditionalFormatting xmlns:xm="http://schemas.microsoft.com/office/excel/2006/main">
          <x14:cfRule type="expression" priority="16073" id="{5BAE065E-2080-450D-875A-7BD8F0DE3CA5}">
            <xm:f>AND(IF(H68&gt;'Plan de Accion 2018'!X85,H68&lt;&gt;¨N/A¨))</xm:f>
            <x14:dxf>
              <fill>
                <patternFill>
                  <bgColor theme="1" tint="0.499984740745262"/>
                </patternFill>
              </fill>
            </x14:dxf>
          </x14:cfRule>
          <x14:cfRule type="expression" priority="16074" stopIfTrue="1" id="{57E61F58-88D1-4069-8E15-9C1C39FADE4E}">
            <xm:f>AND(IF(H68='Plan de Accion 2018'!X85,H68&lt;&gt;"N/A"))</xm:f>
            <x14:dxf>
              <fill>
                <patternFill>
                  <bgColor rgb="FF00B050"/>
                </patternFill>
              </fill>
            </x14:dxf>
          </x14:cfRule>
          <x14:cfRule type="expression" priority="16075" stopIfTrue="1" id="{04370C36-0089-4BA0-A60D-5670C2FDF569}">
            <xm:f>AND(IF(H68&lt;'Plan de Accion 2018'!X85,H68&lt;&gt;"N/A"))</xm:f>
            <x14:dxf>
              <fill>
                <patternFill>
                  <bgColor indexed="10"/>
                </patternFill>
              </fill>
            </x14:dxf>
          </x14:cfRule>
          <xm:sqref>H68:H71</xm:sqref>
        </x14:conditionalFormatting>
        <x14:conditionalFormatting xmlns:xm="http://schemas.microsoft.com/office/excel/2006/main">
          <x14:cfRule type="expression" priority="16061" id="{2C3BF7CD-BA0A-480D-9F71-013F402ACC11}">
            <xm:f>AND(IF(H72&gt;'Plan de Accion 2018'!X83,H72&lt;&gt;¨N/A¨))</xm:f>
            <x14:dxf>
              <fill>
                <patternFill>
                  <bgColor theme="1" tint="0.499984740745262"/>
                </patternFill>
              </fill>
            </x14:dxf>
          </x14:cfRule>
          <x14:cfRule type="expression" priority="16062" stopIfTrue="1" id="{C2FD101A-C2DC-4070-9A97-72B30C81DC95}">
            <xm:f>AND(IF(H72='Plan de Accion 2018'!X83,H72&lt;&gt;"N/A"))</xm:f>
            <x14:dxf>
              <fill>
                <patternFill>
                  <bgColor rgb="FF00B050"/>
                </patternFill>
              </fill>
            </x14:dxf>
          </x14:cfRule>
          <x14:cfRule type="expression" priority="16063" stopIfTrue="1" id="{43543DB3-9128-4B58-B834-F389D59AC87D}">
            <xm:f>AND(IF(H72&lt;'Plan de Accion 2018'!X83,H72&lt;&gt;"N/A"))</xm:f>
            <x14:dxf>
              <fill>
                <patternFill>
                  <bgColor indexed="10"/>
                </patternFill>
              </fill>
            </x14:dxf>
          </x14:cfRule>
          <xm:sqref>H72:H73</xm:sqref>
        </x14:conditionalFormatting>
        <x14:conditionalFormatting xmlns:xm="http://schemas.microsoft.com/office/excel/2006/main">
          <x14:cfRule type="expression" priority="16049" id="{F4425813-8481-4FEC-91DF-1C41C861205B}">
            <xm:f>AND(IF(H79&gt;'Plan de Accion 2018'!X138,H79&lt;&gt;¨N/A¨))</xm:f>
            <x14:dxf>
              <fill>
                <patternFill>
                  <bgColor theme="1" tint="0.499984740745262"/>
                </patternFill>
              </fill>
            </x14:dxf>
          </x14:cfRule>
          <x14:cfRule type="expression" priority="16050" stopIfTrue="1" id="{EE6300BC-3367-4F05-AD5D-B2C0821F2916}">
            <xm:f>AND(IF(H79='Plan de Accion 2018'!X138,H79&lt;&gt;"N/A"))</xm:f>
            <x14:dxf>
              <fill>
                <patternFill>
                  <bgColor rgb="FF00B050"/>
                </patternFill>
              </fill>
            </x14:dxf>
          </x14:cfRule>
          <x14:cfRule type="expression" priority="16051" stopIfTrue="1" id="{B3E6CC0D-D1AF-4E95-8599-D41B69FACC17}">
            <xm:f>AND(IF(H79&lt;'Plan de Accion 2018'!X138,H79&lt;&gt;"N/A"))</xm:f>
            <x14:dxf>
              <fill>
                <patternFill>
                  <bgColor indexed="10"/>
                </patternFill>
              </fill>
            </x14:dxf>
          </x14:cfRule>
          <xm:sqref>H79</xm:sqref>
        </x14:conditionalFormatting>
        <x14:conditionalFormatting xmlns:xm="http://schemas.microsoft.com/office/excel/2006/main">
          <x14:cfRule type="expression" priority="16046" id="{AC264CAD-F79B-4650-BEDB-33B13F33182D}">
            <xm:f>AND(IF(H80&gt;'Plan de Accion 2018'!X147,H80&lt;&gt;¨N/A¨))</xm:f>
            <x14:dxf>
              <fill>
                <patternFill>
                  <bgColor theme="1" tint="0.499984740745262"/>
                </patternFill>
              </fill>
            </x14:dxf>
          </x14:cfRule>
          <x14:cfRule type="expression" priority="16047" stopIfTrue="1" id="{BA43120B-2AF7-4DB2-A25F-3478EC585EFB}">
            <xm:f>AND(IF(H80='Plan de Accion 2018'!X147,H80&lt;&gt;"N/A"))</xm:f>
            <x14:dxf>
              <fill>
                <patternFill>
                  <bgColor rgb="FF00B050"/>
                </patternFill>
              </fill>
            </x14:dxf>
          </x14:cfRule>
          <x14:cfRule type="expression" priority="16048" stopIfTrue="1" id="{5CCCCB4A-B844-4D5F-A3B5-19214844C1A0}">
            <xm:f>AND(IF(H80&lt;'Plan de Accion 2018'!X147,H80&lt;&gt;"N/A"))</xm:f>
            <x14:dxf>
              <fill>
                <patternFill>
                  <bgColor indexed="10"/>
                </patternFill>
              </fill>
            </x14:dxf>
          </x14:cfRule>
          <xm:sqref>H80</xm:sqref>
        </x14:conditionalFormatting>
        <x14:conditionalFormatting xmlns:xm="http://schemas.microsoft.com/office/excel/2006/main">
          <x14:cfRule type="expression" priority="16043" id="{A7C81FF8-A132-4BFF-878E-90A32B81EBF7}">
            <xm:f>AND(IF(H81&gt;'Plan de Accion 2018'!X149,H81&lt;&gt;¨N/A¨))</xm:f>
            <x14:dxf>
              <fill>
                <patternFill>
                  <bgColor theme="1" tint="0.499984740745262"/>
                </patternFill>
              </fill>
            </x14:dxf>
          </x14:cfRule>
          <x14:cfRule type="expression" priority="16044" stopIfTrue="1" id="{717E1B75-2A87-4663-92C8-E16F567F01FE}">
            <xm:f>AND(IF(H81='Plan de Accion 2018'!X149,H81&lt;&gt;"N/A"))</xm:f>
            <x14:dxf>
              <fill>
                <patternFill>
                  <bgColor rgb="FF00B050"/>
                </patternFill>
              </fill>
            </x14:dxf>
          </x14:cfRule>
          <x14:cfRule type="expression" priority="16045" stopIfTrue="1" id="{47F82822-7888-490A-837C-E954EBC9AA35}">
            <xm:f>AND(IF(H81&lt;'Plan de Accion 2018'!X149,H81&lt;&gt;"N/A"))</xm:f>
            <x14:dxf>
              <fill>
                <patternFill>
                  <bgColor indexed="10"/>
                </patternFill>
              </fill>
            </x14:dxf>
          </x14:cfRule>
          <xm:sqref>H81</xm:sqref>
        </x14:conditionalFormatting>
        <x14:conditionalFormatting xmlns:xm="http://schemas.microsoft.com/office/excel/2006/main">
          <x14:cfRule type="expression" priority="16040" id="{21F31CE3-215C-4E38-B450-140B239447C0}">
            <xm:f>AND(IF(H82&gt;'Plan de Accion 2018'!X125,H82&lt;&gt;¨N/A¨))</xm:f>
            <x14:dxf>
              <fill>
                <patternFill>
                  <bgColor theme="1" tint="0.499984740745262"/>
                </patternFill>
              </fill>
            </x14:dxf>
          </x14:cfRule>
          <x14:cfRule type="expression" priority="16041" stopIfTrue="1" id="{07E68019-DB8E-4DC8-B508-FD04BF990408}">
            <xm:f>AND(IF(H82='Plan de Accion 2018'!X125,H82&lt;&gt;"N/A"))</xm:f>
            <x14:dxf>
              <fill>
                <patternFill>
                  <bgColor rgb="FF00B050"/>
                </patternFill>
              </fill>
            </x14:dxf>
          </x14:cfRule>
          <x14:cfRule type="expression" priority="16042" stopIfTrue="1" id="{DCC7A6F0-0D68-4A63-9AAF-6C1DD5D4D040}">
            <xm:f>AND(IF(H82&lt;'Plan de Accion 2018'!X125,H82&lt;&gt;"N/A"))</xm:f>
            <x14:dxf>
              <fill>
                <patternFill>
                  <bgColor indexed="10"/>
                </patternFill>
              </fill>
            </x14:dxf>
          </x14:cfRule>
          <xm:sqref>H82:H83 H87</xm:sqref>
        </x14:conditionalFormatting>
        <x14:conditionalFormatting xmlns:xm="http://schemas.microsoft.com/office/excel/2006/main">
          <x14:cfRule type="expression" priority="16034" id="{00EF5851-0F15-4375-9114-B9723C7720BE}">
            <xm:f>AND(IF(H88&gt;'Plan de Accion 2018'!X132,H88&lt;&gt;¨N/A¨))</xm:f>
            <x14:dxf>
              <fill>
                <patternFill>
                  <bgColor theme="1" tint="0.499984740745262"/>
                </patternFill>
              </fill>
            </x14:dxf>
          </x14:cfRule>
          <x14:cfRule type="expression" priority="16035" stopIfTrue="1" id="{0BF81C28-2FE1-441C-83A7-E7AA41900C95}">
            <xm:f>AND(IF(H88='Plan de Accion 2018'!X132,H88&lt;&gt;"N/A"))</xm:f>
            <x14:dxf>
              <fill>
                <patternFill>
                  <bgColor rgb="FF00B050"/>
                </patternFill>
              </fill>
            </x14:dxf>
          </x14:cfRule>
          <x14:cfRule type="expression" priority="16036" stopIfTrue="1" id="{8FD98739-80B4-4CC7-874C-B40225B82C6A}">
            <xm:f>AND(IF(H88&lt;'Plan de Accion 2018'!X132,H88&lt;&gt;"N/A"))</xm:f>
            <x14:dxf>
              <fill>
                <patternFill>
                  <bgColor indexed="10"/>
                </patternFill>
              </fill>
            </x14:dxf>
          </x14:cfRule>
          <xm:sqref>H91 H88</xm:sqref>
        </x14:conditionalFormatting>
        <x14:conditionalFormatting xmlns:xm="http://schemas.microsoft.com/office/excel/2006/main">
          <x14:cfRule type="expression" priority="16028" id="{0E3DE2B6-62E7-4210-A3B8-58B420B5CAC2}">
            <xm:f>AND(IF(H92&gt;'Plan de Accion 2018'!X139,H92&lt;&gt;¨N/A¨))</xm:f>
            <x14:dxf>
              <fill>
                <patternFill>
                  <bgColor theme="1" tint="0.499984740745262"/>
                </patternFill>
              </fill>
            </x14:dxf>
          </x14:cfRule>
          <x14:cfRule type="expression" priority="16029" stopIfTrue="1" id="{2DD90422-6F43-475B-9E0C-BF9D0DB7D5F6}">
            <xm:f>AND(IF(H92='Plan de Accion 2018'!X139,H92&lt;&gt;"N/A"))</xm:f>
            <x14:dxf>
              <fill>
                <patternFill>
                  <bgColor rgb="FF00B050"/>
                </patternFill>
              </fill>
            </x14:dxf>
          </x14:cfRule>
          <x14:cfRule type="expression" priority="16030" stopIfTrue="1" id="{043AAF05-0FA7-485D-A836-D329BF1A7CDD}">
            <xm:f>AND(IF(H92&lt;'Plan de Accion 2018'!X139,H92&lt;&gt;"N/A"))</xm:f>
            <x14:dxf>
              <fill>
                <patternFill>
                  <bgColor indexed="10"/>
                </patternFill>
              </fill>
            </x14:dxf>
          </x14:cfRule>
          <xm:sqref>H92</xm:sqref>
        </x14:conditionalFormatting>
        <x14:conditionalFormatting xmlns:xm="http://schemas.microsoft.com/office/excel/2006/main">
          <x14:cfRule type="expression" priority="16025" id="{12C2E3D7-C6FA-4210-81BC-19D216CF026F}">
            <xm:f>AND(IF(H93&gt;'Plan de Accion 2018'!X154,H93&lt;&gt;¨N/A¨))</xm:f>
            <x14:dxf>
              <fill>
                <patternFill>
                  <bgColor theme="1" tint="0.499984740745262"/>
                </patternFill>
              </fill>
            </x14:dxf>
          </x14:cfRule>
          <x14:cfRule type="expression" priority="16026" stopIfTrue="1" id="{2948012B-8141-4037-AD13-B1E36B6D1A83}">
            <xm:f>AND(IF(H93='Plan de Accion 2018'!X154,H93&lt;&gt;"N/A"))</xm:f>
            <x14:dxf>
              <fill>
                <patternFill>
                  <bgColor rgb="FF00B050"/>
                </patternFill>
              </fill>
            </x14:dxf>
          </x14:cfRule>
          <x14:cfRule type="expression" priority="16027" stopIfTrue="1" id="{71594613-5C31-40DB-AE1C-6746266C05EC}">
            <xm:f>AND(IF(H93&lt;'Plan de Accion 2018'!X154,H93&lt;&gt;"N/A"))</xm:f>
            <x14:dxf>
              <fill>
                <patternFill>
                  <bgColor indexed="10"/>
                </patternFill>
              </fill>
            </x14:dxf>
          </x14:cfRule>
          <xm:sqref>H93</xm:sqref>
        </x14:conditionalFormatting>
        <x14:conditionalFormatting xmlns:xm="http://schemas.microsoft.com/office/excel/2006/main">
          <x14:cfRule type="expression" priority="16022" id="{A32D7933-0464-4EC4-9099-C17E1F1495B2}">
            <xm:f>AND(IF(H60&gt;'Plan de Accion 2018'!X40,H60&lt;&gt;¨N/A¨))</xm:f>
            <x14:dxf>
              <fill>
                <patternFill>
                  <bgColor theme="1" tint="0.499984740745262"/>
                </patternFill>
              </fill>
            </x14:dxf>
          </x14:cfRule>
          <x14:cfRule type="expression" priority="16023" stopIfTrue="1" id="{03B12C24-5A63-4D21-AEF2-1CA8E641C58E}">
            <xm:f>AND(IF(H60='Plan de Accion 2018'!X40,H60&lt;&gt;"N/A"))</xm:f>
            <x14:dxf>
              <fill>
                <patternFill>
                  <bgColor rgb="FF00B050"/>
                </patternFill>
              </fill>
            </x14:dxf>
          </x14:cfRule>
          <x14:cfRule type="expression" priority="16024" stopIfTrue="1" id="{77EDED19-638B-4823-9F72-D0B66336C4B0}">
            <xm:f>AND(IF(H60&lt;'Plan de Accion 2018'!X40,H60&lt;&gt;"N/A"))</xm:f>
            <x14:dxf>
              <fill>
                <patternFill>
                  <bgColor indexed="10"/>
                </patternFill>
              </fill>
            </x14:dxf>
          </x14:cfRule>
          <xm:sqref>H157 H60:H62</xm:sqref>
        </x14:conditionalFormatting>
        <x14:conditionalFormatting xmlns:xm="http://schemas.microsoft.com/office/excel/2006/main">
          <x14:cfRule type="expression" priority="16019" id="{454929CB-B2BE-4B82-8D51-7FFADC28FE7B}">
            <xm:f>AND(IF(H169&gt;'Plan de Accion 2018'!X122,H169&lt;&gt;¨N/A¨))</xm:f>
            <x14:dxf>
              <fill>
                <patternFill>
                  <bgColor theme="1" tint="0.499984740745262"/>
                </patternFill>
              </fill>
            </x14:dxf>
          </x14:cfRule>
          <x14:cfRule type="expression" priority="16020" stopIfTrue="1" id="{BF072DE8-3409-4472-9505-577D90055B9D}">
            <xm:f>AND(IF(H169='Plan de Accion 2018'!X122,H169&lt;&gt;"N/A"))</xm:f>
            <x14:dxf>
              <fill>
                <patternFill>
                  <bgColor rgb="FF00B050"/>
                </patternFill>
              </fill>
            </x14:dxf>
          </x14:cfRule>
          <x14:cfRule type="expression" priority="16021" stopIfTrue="1" id="{95D317B6-7C36-4C81-8309-8AC8F818E60E}">
            <xm:f>AND(IF(H169&lt;'Plan de Accion 2018'!X122,H169&lt;&gt;"N/A"))</xm:f>
            <x14:dxf>
              <fill>
                <patternFill>
                  <bgColor indexed="10"/>
                </patternFill>
              </fill>
            </x14:dxf>
          </x14:cfRule>
          <xm:sqref>H169</xm:sqref>
        </x14:conditionalFormatting>
        <x14:conditionalFormatting xmlns:xm="http://schemas.microsoft.com/office/excel/2006/main">
          <x14:cfRule type="expression" priority="16016" id="{1A5E750C-22FD-4E18-848F-E03322CB1825}">
            <xm:f>AND(IF(H98&gt;'Plan de Accion 2018'!X53,H98&lt;&gt;¨N/A¨))</xm:f>
            <x14:dxf>
              <fill>
                <patternFill>
                  <bgColor theme="1" tint="0.499984740745262"/>
                </patternFill>
              </fill>
            </x14:dxf>
          </x14:cfRule>
          <x14:cfRule type="expression" priority="16017" stopIfTrue="1" id="{74E6BF35-B43C-478D-BFF7-674776C8FCB0}">
            <xm:f>AND(IF(H98='Plan de Accion 2018'!X53,H98&lt;&gt;"N/A"))</xm:f>
            <x14:dxf>
              <fill>
                <patternFill>
                  <bgColor rgb="FF00B050"/>
                </patternFill>
              </fill>
            </x14:dxf>
          </x14:cfRule>
          <x14:cfRule type="expression" priority="16018" stopIfTrue="1" id="{FAF7DCED-A3CC-4468-8FD3-D00F5581BA68}">
            <xm:f>AND(IF(H98&lt;'Plan de Accion 2018'!X53,H98&lt;&gt;"N/A"))</xm:f>
            <x14:dxf>
              <fill>
                <patternFill>
                  <bgColor indexed="10"/>
                </patternFill>
              </fill>
            </x14:dxf>
          </x14:cfRule>
          <xm:sqref>H98</xm:sqref>
        </x14:conditionalFormatting>
        <x14:conditionalFormatting xmlns:xm="http://schemas.microsoft.com/office/excel/2006/main">
          <x14:cfRule type="expression" priority="16010" id="{FDA5AB1A-DB98-41C2-87E0-8D72C86634AF}">
            <xm:f>AND(IF(H99&gt;'Plan de Accion 2018'!X63,H99&lt;&gt;¨N/A¨))</xm:f>
            <x14:dxf>
              <fill>
                <patternFill>
                  <bgColor theme="1" tint="0.499984740745262"/>
                </patternFill>
              </fill>
            </x14:dxf>
          </x14:cfRule>
          <x14:cfRule type="expression" priority="16011" stopIfTrue="1" id="{0A8C9F66-D696-47A0-A91D-2F189DF17606}">
            <xm:f>AND(IF(H99='Plan de Accion 2018'!X63,H99&lt;&gt;"N/A"))</xm:f>
            <x14:dxf>
              <fill>
                <patternFill>
                  <bgColor rgb="FF00B050"/>
                </patternFill>
              </fill>
            </x14:dxf>
          </x14:cfRule>
          <x14:cfRule type="expression" priority="16012" stopIfTrue="1" id="{3CC12296-6133-4121-9663-3F2BBF4DE5D2}">
            <xm:f>AND(IF(H99&lt;'Plan de Accion 2018'!X63,H99&lt;&gt;"N/A"))</xm:f>
            <x14:dxf>
              <fill>
                <patternFill>
                  <bgColor indexed="10"/>
                </patternFill>
              </fill>
            </x14:dxf>
          </x14:cfRule>
          <xm:sqref>H99:H100</xm:sqref>
        </x14:conditionalFormatting>
        <x14:conditionalFormatting xmlns:xm="http://schemas.microsoft.com/office/excel/2006/main">
          <x14:cfRule type="expression" priority="16007" id="{AA6B8B71-6CA3-4624-8BE8-0ABCD8C6BAFC}">
            <xm:f>AND(IF(H170&gt;'Plan de Accion 2018'!X140,H170&lt;&gt;¨N/A¨))</xm:f>
            <x14:dxf>
              <fill>
                <patternFill>
                  <bgColor theme="1" tint="0.499984740745262"/>
                </patternFill>
              </fill>
            </x14:dxf>
          </x14:cfRule>
          <x14:cfRule type="expression" priority="16008" stopIfTrue="1" id="{58A02C06-8FED-409A-B81D-C1A8C830FAD6}">
            <xm:f>AND(IF(H170='Plan de Accion 2018'!X140,H170&lt;&gt;"N/A"))</xm:f>
            <x14:dxf>
              <fill>
                <patternFill>
                  <bgColor rgb="FF00B050"/>
                </patternFill>
              </fill>
            </x14:dxf>
          </x14:cfRule>
          <x14:cfRule type="expression" priority="16009" stopIfTrue="1" id="{8549CAFC-6D9A-4DA6-84B1-AD2D1DEF1DC2}">
            <xm:f>AND(IF(H170&lt;'Plan de Accion 2018'!X140,H170&lt;&gt;"N/A"))</xm:f>
            <x14:dxf>
              <fill>
                <patternFill>
                  <bgColor indexed="10"/>
                </patternFill>
              </fill>
            </x14:dxf>
          </x14:cfRule>
          <xm:sqref>H170</xm:sqref>
        </x14:conditionalFormatting>
        <x14:conditionalFormatting xmlns:xm="http://schemas.microsoft.com/office/excel/2006/main">
          <x14:cfRule type="expression" priority="15998" id="{C44AAC9D-FF98-4E6C-873C-3E29EC3C221F}">
            <xm:f>AND(IF(H105&gt;'Plan de Accion 2018'!X95,H105&lt;&gt;¨N/A¨))</xm:f>
            <x14:dxf>
              <fill>
                <patternFill>
                  <bgColor theme="1" tint="0.499984740745262"/>
                </patternFill>
              </fill>
            </x14:dxf>
          </x14:cfRule>
          <x14:cfRule type="expression" priority="15999" stopIfTrue="1" id="{CD10EA79-D51B-4F1F-95CD-B72779BF622D}">
            <xm:f>AND(IF(H105='Plan de Accion 2018'!X95,H105&lt;&gt;"N/A"))</xm:f>
            <x14:dxf>
              <fill>
                <patternFill>
                  <bgColor rgb="FF00B050"/>
                </patternFill>
              </fill>
            </x14:dxf>
          </x14:cfRule>
          <x14:cfRule type="expression" priority="16000" stopIfTrue="1" id="{B76B44CE-3AEF-48EF-AD28-F39A6893B2DA}">
            <xm:f>AND(IF(H105&lt;'Plan de Accion 2018'!X95,H105&lt;&gt;"N/A"))</xm:f>
            <x14:dxf>
              <fill>
                <patternFill>
                  <bgColor indexed="10"/>
                </patternFill>
              </fill>
            </x14:dxf>
          </x14:cfRule>
          <xm:sqref>H105:H109</xm:sqref>
        </x14:conditionalFormatting>
        <x14:conditionalFormatting xmlns:xm="http://schemas.microsoft.com/office/excel/2006/main">
          <x14:cfRule type="expression" priority="15986" id="{3677E030-971B-4EB5-9249-DD78ECB0C2C9}">
            <xm:f>AND(IF(H110&gt;'Plan de Accion 2018'!X107,H110&lt;&gt;¨N/A¨))</xm:f>
            <x14:dxf>
              <fill>
                <patternFill>
                  <bgColor theme="1" tint="0.499984740745262"/>
                </patternFill>
              </fill>
            </x14:dxf>
          </x14:cfRule>
          <x14:cfRule type="expression" priority="15987" stopIfTrue="1" id="{23294E12-C57C-4EF7-BA1C-9721281A7C37}">
            <xm:f>AND(IF(H110='Plan de Accion 2018'!X107,H110&lt;&gt;"N/A"))</xm:f>
            <x14:dxf>
              <fill>
                <patternFill>
                  <bgColor rgb="FF00B050"/>
                </patternFill>
              </fill>
            </x14:dxf>
          </x14:cfRule>
          <x14:cfRule type="expression" priority="15988" stopIfTrue="1" id="{95985CD9-9707-4D6D-A718-A455A16E9E36}">
            <xm:f>AND(IF(H110&lt;'Plan de Accion 2018'!X107,H110&lt;&gt;"N/A"))</xm:f>
            <x14:dxf>
              <fill>
                <patternFill>
                  <bgColor indexed="10"/>
                </patternFill>
              </fill>
            </x14:dxf>
          </x14:cfRule>
          <xm:sqref>H110</xm:sqref>
        </x14:conditionalFormatting>
        <x14:conditionalFormatting xmlns:xm="http://schemas.microsoft.com/office/excel/2006/main">
          <x14:cfRule type="expression" priority="15983" id="{236C8B8B-8E6A-474F-B7F0-FA9B518B9341}">
            <xm:f>AND(IF(H111&gt;'Plan de Accion 2018'!X111,H111&lt;&gt;¨N/A¨))</xm:f>
            <x14:dxf>
              <fill>
                <patternFill>
                  <bgColor theme="1" tint="0.499984740745262"/>
                </patternFill>
              </fill>
            </x14:dxf>
          </x14:cfRule>
          <x14:cfRule type="expression" priority="15984" stopIfTrue="1" id="{7882AB5F-7785-4B5E-A78D-C771ACED6820}">
            <xm:f>AND(IF(H111='Plan de Accion 2018'!X111,H111&lt;&gt;"N/A"))</xm:f>
            <x14:dxf>
              <fill>
                <patternFill>
                  <bgColor rgb="FF00B050"/>
                </patternFill>
              </fill>
            </x14:dxf>
          </x14:cfRule>
          <x14:cfRule type="expression" priority="15985" stopIfTrue="1" id="{EE0E8F10-F90D-463E-BA98-04E2883F0C22}">
            <xm:f>AND(IF(H111&lt;'Plan de Accion 2018'!X111,H111&lt;&gt;"N/A"))</xm:f>
            <x14:dxf>
              <fill>
                <patternFill>
                  <bgColor indexed="10"/>
                </patternFill>
              </fill>
            </x14:dxf>
          </x14:cfRule>
          <xm:sqref>H111:H113</xm:sqref>
        </x14:conditionalFormatting>
        <x14:conditionalFormatting xmlns:xm="http://schemas.microsoft.com/office/excel/2006/main">
          <x14:cfRule type="expression" priority="15971" id="{B38DEB0D-32B3-47DF-AB7E-507770066A93}">
            <xm:f>AND(IF(H114&gt;'Plan de Accion 2018'!X119,H114&lt;&gt;¨N/A¨))</xm:f>
            <x14:dxf>
              <fill>
                <patternFill>
                  <bgColor theme="1" tint="0.499984740745262"/>
                </patternFill>
              </fill>
            </x14:dxf>
          </x14:cfRule>
          <x14:cfRule type="expression" priority="15972" stopIfTrue="1" id="{6959E61F-63EA-40F2-B24D-60F2DCBD0ABB}">
            <xm:f>AND(IF(H114='Plan de Accion 2018'!X119,H114&lt;&gt;"N/A"))</xm:f>
            <x14:dxf>
              <fill>
                <patternFill>
                  <bgColor rgb="FF00B050"/>
                </patternFill>
              </fill>
            </x14:dxf>
          </x14:cfRule>
          <x14:cfRule type="expression" priority="15973" stopIfTrue="1" id="{33610E02-7E6A-4B48-8812-943F54E97476}">
            <xm:f>AND(IF(H114&lt;'Plan de Accion 2018'!X119,H114&lt;&gt;"N/A"))</xm:f>
            <x14:dxf>
              <fill>
                <patternFill>
                  <bgColor indexed="10"/>
                </patternFill>
              </fill>
            </x14:dxf>
          </x14:cfRule>
          <xm:sqref>H114</xm:sqref>
        </x14:conditionalFormatting>
        <x14:conditionalFormatting xmlns:xm="http://schemas.microsoft.com/office/excel/2006/main">
          <x14:cfRule type="expression" priority="15968" id="{73AD3A19-2F5E-4D90-BF83-25A455BE3826}">
            <xm:f>AND(IF(H115&gt;'Plan de Accion 2018'!X141,H115&lt;&gt;¨N/A¨))</xm:f>
            <x14:dxf>
              <fill>
                <patternFill>
                  <bgColor theme="1" tint="0.499984740745262"/>
                </patternFill>
              </fill>
            </x14:dxf>
          </x14:cfRule>
          <x14:cfRule type="expression" priority="15969" stopIfTrue="1" id="{120079CE-B71E-43F3-B249-7831C404E096}">
            <xm:f>AND(IF(H115='Plan de Accion 2018'!X141,H115&lt;&gt;"N/A"))</xm:f>
            <x14:dxf>
              <fill>
                <patternFill>
                  <bgColor rgb="FF00B050"/>
                </patternFill>
              </fill>
            </x14:dxf>
          </x14:cfRule>
          <x14:cfRule type="expression" priority="15970" stopIfTrue="1" id="{15B833EE-8136-4193-B43E-A299A6990AE5}">
            <xm:f>AND(IF(H115&lt;'Plan de Accion 2018'!X141,H115&lt;&gt;"N/A"))</xm:f>
            <x14:dxf>
              <fill>
                <patternFill>
                  <bgColor indexed="10"/>
                </patternFill>
              </fill>
            </x14:dxf>
          </x14:cfRule>
          <xm:sqref>H115</xm:sqref>
        </x14:conditionalFormatting>
        <x14:conditionalFormatting xmlns:xm="http://schemas.microsoft.com/office/excel/2006/main">
          <x14:cfRule type="expression" priority="15965" id="{3C70F423-D9CF-4FC8-B4FC-F6800DF866ED}">
            <xm:f>AND(IF(H116&gt;'Plan de Accion 2018'!X143,H116&lt;&gt;¨N/A¨))</xm:f>
            <x14:dxf>
              <fill>
                <patternFill>
                  <bgColor theme="1" tint="0.499984740745262"/>
                </patternFill>
              </fill>
            </x14:dxf>
          </x14:cfRule>
          <x14:cfRule type="expression" priority="15966" stopIfTrue="1" id="{46DE1846-4301-49E0-9FD0-3E45119E5A5A}">
            <xm:f>AND(IF(H116='Plan de Accion 2018'!X143,H116&lt;&gt;"N/A"))</xm:f>
            <x14:dxf>
              <fill>
                <patternFill>
                  <bgColor rgb="FF00B050"/>
                </patternFill>
              </fill>
            </x14:dxf>
          </x14:cfRule>
          <x14:cfRule type="expression" priority="15967" stopIfTrue="1" id="{1AA29CD8-6A7D-4C01-A020-9A1E4E1701E1}">
            <xm:f>AND(IF(H116&lt;'Plan de Accion 2018'!X143,H116&lt;&gt;"N/A"))</xm:f>
            <x14:dxf>
              <fill>
                <patternFill>
                  <bgColor indexed="10"/>
                </patternFill>
              </fill>
            </x14:dxf>
          </x14:cfRule>
          <xm:sqref>H116</xm:sqref>
        </x14:conditionalFormatting>
        <x14:conditionalFormatting xmlns:xm="http://schemas.microsoft.com/office/excel/2006/main">
          <x14:cfRule type="expression" priority="15962" id="{3F097174-46F5-49A9-9A2F-56D977F79B80}">
            <xm:f>AND(IF(H192&gt;'Plan de Accion 2018'!X120,H192&lt;&gt;¨N/A¨))</xm:f>
            <x14:dxf>
              <fill>
                <patternFill>
                  <bgColor theme="1" tint="0.499984740745262"/>
                </patternFill>
              </fill>
            </x14:dxf>
          </x14:cfRule>
          <x14:cfRule type="expression" priority="15963" stopIfTrue="1" id="{6AB1EBAD-47AB-46EF-BFC9-023E4C249536}">
            <xm:f>AND(IF(H192='Plan de Accion 2018'!X120,H192&lt;&gt;"N/A"))</xm:f>
            <x14:dxf>
              <fill>
                <patternFill>
                  <bgColor rgb="FF00B050"/>
                </patternFill>
              </fill>
            </x14:dxf>
          </x14:cfRule>
          <x14:cfRule type="expression" priority="15964" stopIfTrue="1" id="{7537C9B6-6D2B-493F-A2DA-15B8B27AEF45}">
            <xm:f>AND(IF(H192&lt;'Plan de Accion 2018'!X120,H192&lt;&gt;"N/A"))</xm:f>
            <x14:dxf>
              <fill>
                <patternFill>
                  <bgColor indexed="10"/>
                </patternFill>
              </fill>
            </x14:dxf>
          </x14:cfRule>
          <xm:sqref>H207:H208 H192</xm:sqref>
        </x14:conditionalFormatting>
        <x14:conditionalFormatting xmlns:xm="http://schemas.microsoft.com/office/excel/2006/main">
          <x14:cfRule type="expression" priority="15917" id="{4D6E92C3-FAEC-4F5B-A7CC-E9D57E944A81}">
            <xm:f>AND(IF(H133&gt;'Plan de Accion 2018'!X67,H133&lt;&gt;¨N/A¨))</xm:f>
            <x14:dxf>
              <fill>
                <patternFill>
                  <bgColor theme="1" tint="0.499984740745262"/>
                </patternFill>
              </fill>
            </x14:dxf>
          </x14:cfRule>
          <x14:cfRule type="expression" priority="15918" stopIfTrue="1" id="{F9008D7D-1A1B-4972-AC8A-90D7E21DB4B4}">
            <xm:f>AND(IF(H133='Plan de Accion 2018'!X67,H133&lt;&gt;"N/A"))</xm:f>
            <x14:dxf>
              <fill>
                <patternFill>
                  <bgColor rgb="FF00B050"/>
                </patternFill>
              </fill>
            </x14:dxf>
          </x14:cfRule>
          <x14:cfRule type="expression" priority="15919" stopIfTrue="1" id="{4432B4DF-4E83-4ED9-84EC-CD27FF43F902}">
            <xm:f>AND(IF(H133&lt;'Plan de Accion 2018'!X67,H133&lt;&gt;"N/A"))</xm:f>
            <x14:dxf>
              <fill>
                <patternFill>
                  <bgColor indexed="10"/>
                </patternFill>
              </fill>
            </x14:dxf>
          </x14:cfRule>
          <xm:sqref>H133:H136</xm:sqref>
        </x14:conditionalFormatting>
        <x14:conditionalFormatting xmlns:xm="http://schemas.microsoft.com/office/excel/2006/main">
          <x14:cfRule type="expression" priority="15908" id="{A47C21AC-0A78-4B79-B1F2-2F82C289B401}">
            <xm:f>AND(IF(H137&gt;'Plan de Accion 2018'!X72,H137&lt;&gt;¨N/A¨))</xm:f>
            <x14:dxf>
              <fill>
                <patternFill>
                  <bgColor theme="1" tint="0.499984740745262"/>
                </patternFill>
              </fill>
            </x14:dxf>
          </x14:cfRule>
          <x14:cfRule type="expression" priority="15909" stopIfTrue="1" id="{4E405A1B-8190-4B03-99A0-3FF87157296E}">
            <xm:f>AND(IF(H137='Plan de Accion 2018'!X72,H137&lt;&gt;"N/A"))</xm:f>
            <x14:dxf>
              <fill>
                <patternFill>
                  <bgColor rgb="FF00B050"/>
                </patternFill>
              </fill>
            </x14:dxf>
          </x14:cfRule>
          <x14:cfRule type="expression" priority="15910" stopIfTrue="1" id="{A3C20451-2FAA-47AB-B823-74EA3422874D}">
            <xm:f>AND(IF(H137&lt;'Plan de Accion 2018'!X72,H137&lt;&gt;"N/A"))</xm:f>
            <x14:dxf>
              <fill>
                <patternFill>
                  <bgColor indexed="10"/>
                </patternFill>
              </fill>
            </x14:dxf>
          </x14:cfRule>
          <xm:sqref>H137</xm:sqref>
        </x14:conditionalFormatting>
        <x14:conditionalFormatting xmlns:xm="http://schemas.microsoft.com/office/excel/2006/main">
          <x14:cfRule type="expression" priority="15905" id="{30CBA7BA-C3A4-4791-8F74-86392163C544}">
            <xm:f>AND(IF(H138&gt;'Plan de Accion 2018'!X74,H138&lt;&gt;¨N/A¨))</xm:f>
            <x14:dxf>
              <fill>
                <patternFill>
                  <bgColor theme="1" tint="0.499984740745262"/>
                </patternFill>
              </fill>
            </x14:dxf>
          </x14:cfRule>
          <x14:cfRule type="expression" priority="15906" stopIfTrue="1" id="{C1D07DDF-37CB-43DE-AB27-9FE6D35F4511}">
            <xm:f>AND(IF(H138='Plan de Accion 2018'!X74,H138&lt;&gt;"N/A"))</xm:f>
            <x14:dxf>
              <fill>
                <patternFill>
                  <bgColor rgb="FF00B050"/>
                </patternFill>
              </fill>
            </x14:dxf>
          </x14:cfRule>
          <x14:cfRule type="expression" priority="15907" stopIfTrue="1" id="{1F9EF473-A91D-4A67-BDC3-D58BAFECCA43}">
            <xm:f>AND(IF(H138&lt;'Plan de Accion 2018'!X74,H138&lt;&gt;"N/A"))</xm:f>
            <x14:dxf>
              <fill>
                <patternFill>
                  <bgColor indexed="10"/>
                </patternFill>
              </fill>
            </x14:dxf>
          </x14:cfRule>
          <xm:sqref>H138:H139</xm:sqref>
        </x14:conditionalFormatting>
        <x14:conditionalFormatting xmlns:xm="http://schemas.microsoft.com/office/excel/2006/main">
          <x14:cfRule type="expression" priority="15899" id="{7112DD04-9DCF-4700-9657-8535BBD94AA4}">
            <xm:f>AND(IF(H141&gt;'Plan de Accion 2018'!X36,H141&lt;&gt;¨N/A¨))</xm:f>
            <x14:dxf>
              <fill>
                <patternFill>
                  <bgColor theme="1" tint="0.499984740745262"/>
                </patternFill>
              </fill>
            </x14:dxf>
          </x14:cfRule>
          <x14:cfRule type="expression" priority="15900" stopIfTrue="1" id="{2AC3BB29-73C9-43C8-B58C-FDE1DB7F2CBF}">
            <xm:f>AND(IF(H141='Plan de Accion 2018'!X36,H141&lt;&gt;"N/A"))</xm:f>
            <x14:dxf>
              <fill>
                <patternFill>
                  <bgColor rgb="FF00B050"/>
                </patternFill>
              </fill>
            </x14:dxf>
          </x14:cfRule>
          <x14:cfRule type="expression" priority="15901" stopIfTrue="1" id="{17E998D6-26B5-48B0-9BD3-4654C7FE7CA5}">
            <xm:f>AND(IF(H141&lt;'Plan de Accion 2018'!X36,H141&lt;&gt;"N/A"))</xm:f>
            <x14:dxf>
              <fill>
                <patternFill>
                  <bgColor indexed="10"/>
                </patternFill>
              </fill>
            </x14:dxf>
          </x14:cfRule>
          <xm:sqref>H141:H148</xm:sqref>
        </x14:conditionalFormatting>
        <x14:conditionalFormatting xmlns:xm="http://schemas.microsoft.com/office/excel/2006/main">
          <x14:cfRule type="expression" priority="15851" id="{B029685C-622F-435A-B586-41E1BC6EF941}">
            <xm:f>AND(IF(H158&gt;'Plan de Accion 2018'!X139,H158&lt;&gt;¨N/A¨))</xm:f>
            <x14:dxf>
              <fill>
                <patternFill>
                  <bgColor theme="1" tint="0.499984740745262"/>
                </patternFill>
              </fill>
            </x14:dxf>
          </x14:cfRule>
          <x14:cfRule type="expression" priority="15852" stopIfTrue="1" id="{1A57AFC5-3E6B-466B-AA3F-E5104E18FF84}">
            <xm:f>AND(IF(H158='Plan de Accion 2018'!X139,H158&lt;&gt;"N/A"))</xm:f>
            <x14:dxf>
              <fill>
                <patternFill>
                  <bgColor rgb="FF00B050"/>
                </patternFill>
              </fill>
            </x14:dxf>
          </x14:cfRule>
          <x14:cfRule type="expression" priority="15853" stopIfTrue="1" id="{68C851E9-1731-4498-996C-272A7D22BFAB}">
            <xm:f>AND(IF(H158&lt;'Plan de Accion 2018'!X139,H158&lt;&gt;"N/A"))</xm:f>
            <x14:dxf>
              <fill>
                <patternFill>
                  <bgColor indexed="10"/>
                </patternFill>
              </fill>
            </x14:dxf>
          </x14:cfRule>
          <xm:sqref>H158</xm:sqref>
        </x14:conditionalFormatting>
        <x14:conditionalFormatting xmlns:xm="http://schemas.microsoft.com/office/excel/2006/main">
          <x14:cfRule type="expression" priority="15848" id="{198CFA15-456B-402B-957E-336E4FCAE566}">
            <xm:f>AND(IF(H159&gt;'Plan de Accion 2018'!X146,H159&lt;&gt;¨N/A¨))</xm:f>
            <x14:dxf>
              <fill>
                <patternFill>
                  <bgColor theme="1" tint="0.499984740745262"/>
                </patternFill>
              </fill>
            </x14:dxf>
          </x14:cfRule>
          <x14:cfRule type="expression" priority="15849" stopIfTrue="1" id="{08BF8517-64CB-47CE-859A-15218208A6D4}">
            <xm:f>AND(IF(H159='Plan de Accion 2018'!X146,H159&lt;&gt;"N/A"))</xm:f>
            <x14:dxf>
              <fill>
                <patternFill>
                  <bgColor rgb="FF00B050"/>
                </patternFill>
              </fill>
            </x14:dxf>
          </x14:cfRule>
          <x14:cfRule type="expression" priority="15850" stopIfTrue="1" id="{3315B617-F03F-4F4B-B8FA-E23BB2B7E8FD}">
            <xm:f>AND(IF(H159&lt;'Plan de Accion 2018'!X146,H159&lt;&gt;"N/A"))</xm:f>
            <x14:dxf>
              <fill>
                <patternFill>
                  <bgColor indexed="10"/>
                </patternFill>
              </fill>
            </x14:dxf>
          </x14:cfRule>
          <xm:sqref>H159</xm:sqref>
        </x14:conditionalFormatting>
        <x14:conditionalFormatting xmlns:xm="http://schemas.microsoft.com/office/excel/2006/main">
          <x14:cfRule type="expression" priority="15845" id="{1D929EC8-F9DF-49AF-9C13-9A5E16DFD238}">
            <xm:f>AND(IF(H160&gt;'Plan de Accion 2018'!X148,H160&lt;&gt;¨N/A¨))</xm:f>
            <x14:dxf>
              <fill>
                <patternFill>
                  <bgColor theme="1" tint="0.499984740745262"/>
                </patternFill>
              </fill>
            </x14:dxf>
          </x14:cfRule>
          <x14:cfRule type="expression" priority="15846" stopIfTrue="1" id="{182BC988-84B7-455E-B687-E26B6540210A}">
            <xm:f>AND(IF(H160='Plan de Accion 2018'!X148,H160&lt;&gt;"N/A"))</xm:f>
            <x14:dxf>
              <fill>
                <patternFill>
                  <bgColor rgb="FF00B050"/>
                </patternFill>
              </fill>
            </x14:dxf>
          </x14:cfRule>
          <x14:cfRule type="expression" priority="15847" stopIfTrue="1" id="{FFE27CDF-D07F-48C5-A518-51586D4CFE6B}">
            <xm:f>AND(IF(H160&lt;'Plan de Accion 2018'!X148,H160&lt;&gt;"N/A"))</xm:f>
            <x14:dxf>
              <fill>
                <patternFill>
                  <bgColor indexed="10"/>
                </patternFill>
              </fill>
            </x14:dxf>
          </x14:cfRule>
          <xm:sqref>H160</xm:sqref>
        </x14:conditionalFormatting>
        <x14:conditionalFormatting xmlns:xm="http://schemas.microsoft.com/office/excel/2006/main">
          <x14:cfRule type="expression" priority="15842" id="{7A463BFC-EAD1-4356-A630-6375A654D3C2}">
            <xm:f>AND(IF(H162&gt;'Plan de Accion 2018'!X8,H162&lt;&gt;¨N/A¨))</xm:f>
            <x14:dxf>
              <fill>
                <patternFill>
                  <bgColor theme="1" tint="0.499984740745262"/>
                </patternFill>
              </fill>
            </x14:dxf>
          </x14:cfRule>
          <x14:cfRule type="expression" priority="15843" stopIfTrue="1" id="{0642DF62-FA69-4129-AACA-FB565F841B36}">
            <xm:f>AND(IF(H162='Plan de Accion 2018'!X8,H162&lt;&gt;"N/A"))</xm:f>
            <x14:dxf>
              <fill>
                <patternFill>
                  <bgColor rgb="FF00B050"/>
                </patternFill>
              </fill>
            </x14:dxf>
          </x14:cfRule>
          <x14:cfRule type="expression" priority="15844" stopIfTrue="1" id="{1126386E-685D-4659-A9D8-242AAB13D0C3}">
            <xm:f>AND(IF(H162&lt;'Plan de Accion 2018'!X8,H162&lt;&gt;"N/A"))</xm:f>
            <x14:dxf>
              <fill>
                <patternFill>
                  <bgColor indexed="10"/>
                </patternFill>
              </fill>
            </x14:dxf>
          </x14:cfRule>
          <xm:sqref>H162</xm:sqref>
        </x14:conditionalFormatting>
        <x14:conditionalFormatting xmlns:xm="http://schemas.microsoft.com/office/excel/2006/main">
          <x14:cfRule type="expression" priority="15839" id="{A280658F-F114-4A26-AB95-F6BFACC92386}">
            <xm:f>AND(IF(H163&gt;'Plan de Accion 2018'!X12,H163&lt;&gt;¨N/A¨))</xm:f>
            <x14:dxf>
              <fill>
                <patternFill>
                  <bgColor theme="1" tint="0.499984740745262"/>
                </patternFill>
              </fill>
            </x14:dxf>
          </x14:cfRule>
          <x14:cfRule type="expression" priority="15840" stopIfTrue="1" id="{4BC7C8AD-F128-42C7-9CA2-244047812D66}">
            <xm:f>AND(IF(H163='Plan de Accion 2018'!X12,H163&lt;&gt;"N/A"))</xm:f>
            <x14:dxf>
              <fill>
                <patternFill>
                  <bgColor rgb="FF00B050"/>
                </patternFill>
              </fill>
            </x14:dxf>
          </x14:cfRule>
          <x14:cfRule type="expression" priority="15841" stopIfTrue="1" id="{1C256845-CACA-4D46-B992-69485733D6EB}">
            <xm:f>AND(IF(H163&lt;'Plan de Accion 2018'!X12,H163&lt;&gt;"N/A"))</xm:f>
            <x14:dxf>
              <fill>
                <patternFill>
                  <bgColor indexed="10"/>
                </patternFill>
              </fill>
            </x14:dxf>
          </x14:cfRule>
          <xm:sqref>H163</xm:sqref>
        </x14:conditionalFormatting>
        <x14:conditionalFormatting xmlns:xm="http://schemas.microsoft.com/office/excel/2006/main">
          <x14:cfRule type="expression" priority="15836" id="{4934C3D5-C484-4DE7-9A01-9306A8F2B71F}">
            <xm:f>AND(IF(H164&gt;'Plan de Accion 2018'!X45,H164&lt;&gt;¨N/A¨))</xm:f>
            <x14:dxf>
              <fill>
                <patternFill>
                  <bgColor theme="1" tint="0.499984740745262"/>
                </patternFill>
              </fill>
            </x14:dxf>
          </x14:cfRule>
          <x14:cfRule type="expression" priority="15837" stopIfTrue="1" id="{7CAC8ABC-7131-4AC2-A39A-773EBE645EE7}">
            <xm:f>AND(IF(H164='Plan de Accion 2018'!X45,H164&lt;&gt;"N/A"))</xm:f>
            <x14:dxf>
              <fill>
                <patternFill>
                  <bgColor rgb="FF00B050"/>
                </patternFill>
              </fill>
            </x14:dxf>
          </x14:cfRule>
          <x14:cfRule type="expression" priority="15838" stopIfTrue="1" id="{846CD198-E04F-4FE7-968A-90233F88EC9E}">
            <xm:f>AND(IF(H164&lt;'Plan de Accion 2018'!X45,H164&lt;&gt;"N/A"))</xm:f>
            <x14:dxf>
              <fill>
                <patternFill>
                  <bgColor indexed="10"/>
                </patternFill>
              </fill>
            </x14:dxf>
          </x14:cfRule>
          <xm:sqref>H164</xm:sqref>
        </x14:conditionalFormatting>
        <x14:conditionalFormatting xmlns:xm="http://schemas.microsoft.com/office/excel/2006/main">
          <x14:cfRule type="expression" priority="15833" id="{89C6EAC4-CF03-499D-9B3A-06491B65196B}">
            <xm:f>AND(IF(H165&gt;'Plan de Accion 2018'!X64,H165&lt;&gt;¨N/A¨))</xm:f>
            <x14:dxf>
              <fill>
                <patternFill>
                  <bgColor theme="1" tint="0.499984740745262"/>
                </patternFill>
              </fill>
            </x14:dxf>
          </x14:cfRule>
          <x14:cfRule type="expression" priority="15834" stopIfTrue="1" id="{53296D92-3942-4674-AD25-8764EB63CDE7}">
            <xm:f>AND(IF(H165='Plan de Accion 2018'!X64,H165&lt;&gt;"N/A"))</xm:f>
            <x14:dxf>
              <fill>
                <patternFill>
                  <bgColor rgb="FF00B050"/>
                </patternFill>
              </fill>
            </x14:dxf>
          </x14:cfRule>
          <x14:cfRule type="expression" priority="15835" stopIfTrue="1" id="{514C06CF-66E1-4705-8C2A-F5C6FE8B88B8}">
            <xm:f>AND(IF(H165&lt;'Plan de Accion 2018'!X64,H165&lt;&gt;"N/A"))</xm:f>
            <x14:dxf>
              <fill>
                <patternFill>
                  <bgColor indexed="10"/>
                </patternFill>
              </fill>
            </x14:dxf>
          </x14:cfRule>
          <xm:sqref>H165</xm:sqref>
        </x14:conditionalFormatting>
        <x14:conditionalFormatting xmlns:xm="http://schemas.microsoft.com/office/excel/2006/main">
          <x14:cfRule type="expression" priority="15830" id="{D4FA9E7A-8641-4C82-82EE-162B37F74407}">
            <xm:f>AND(IF(H166&gt;'Plan de Accion 2018'!X76,H166&lt;&gt;¨N/A¨))</xm:f>
            <x14:dxf>
              <fill>
                <patternFill>
                  <bgColor theme="1" tint="0.499984740745262"/>
                </patternFill>
              </fill>
            </x14:dxf>
          </x14:cfRule>
          <x14:cfRule type="expression" priority="15831" stopIfTrue="1" id="{F0107364-4B9E-44FF-BD69-4DD6F319047C}">
            <xm:f>AND(IF(H166='Plan de Accion 2018'!X76,H166&lt;&gt;"N/A"))</xm:f>
            <x14:dxf>
              <fill>
                <patternFill>
                  <bgColor rgb="FF00B050"/>
                </patternFill>
              </fill>
            </x14:dxf>
          </x14:cfRule>
          <x14:cfRule type="expression" priority="15832" stopIfTrue="1" id="{349AF563-3B69-4D0D-8972-4B6DBA695288}">
            <xm:f>AND(IF(H166&lt;'Plan de Accion 2018'!X76,H166&lt;&gt;"N/A"))</xm:f>
            <x14:dxf>
              <fill>
                <patternFill>
                  <bgColor indexed="10"/>
                </patternFill>
              </fill>
            </x14:dxf>
          </x14:cfRule>
          <xm:sqref>H166</xm:sqref>
        </x14:conditionalFormatting>
        <x14:conditionalFormatting xmlns:xm="http://schemas.microsoft.com/office/excel/2006/main">
          <x14:cfRule type="expression" priority="15827" id="{FC4341C7-A7D1-4DF4-BF80-A89D08FBA1E6}">
            <xm:f>AND(IF(H167&gt;'Plan de Accion 2018'!X89,H167&lt;&gt;¨N/A¨))</xm:f>
            <x14:dxf>
              <fill>
                <patternFill>
                  <bgColor theme="1" tint="0.499984740745262"/>
                </patternFill>
              </fill>
            </x14:dxf>
          </x14:cfRule>
          <x14:cfRule type="expression" priority="15828" stopIfTrue="1" id="{B7763D8E-B892-4BB3-A013-4A447BCEEC0F}">
            <xm:f>AND(IF(H167='Plan de Accion 2018'!X89,H167&lt;&gt;"N/A"))</xm:f>
            <x14:dxf>
              <fill>
                <patternFill>
                  <bgColor rgb="FF00B050"/>
                </patternFill>
              </fill>
            </x14:dxf>
          </x14:cfRule>
          <x14:cfRule type="expression" priority="15829" stopIfTrue="1" id="{95FC6BA5-3B0E-46BF-ACA4-1E22F0FE516A}">
            <xm:f>AND(IF(H167&lt;'Plan de Accion 2018'!X89,H167&lt;&gt;"N/A"))</xm:f>
            <x14:dxf>
              <fill>
                <patternFill>
                  <bgColor indexed="10"/>
                </patternFill>
              </fill>
            </x14:dxf>
          </x14:cfRule>
          <xm:sqref>H167</xm:sqref>
        </x14:conditionalFormatting>
        <x14:conditionalFormatting xmlns:xm="http://schemas.microsoft.com/office/excel/2006/main">
          <x14:cfRule type="expression" priority="15824" id="{A48A741E-2335-4636-8D08-7B27C3E4956C}">
            <xm:f>AND(IF(H209&gt;'Plan de Accion 2018'!X154,H209&lt;&gt;¨N/A¨))</xm:f>
            <x14:dxf>
              <fill>
                <patternFill>
                  <bgColor theme="1" tint="0.499984740745262"/>
                </patternFill>
              </fill>
            </x14:dxf>
          </x14:cfRule>
          <x14:cfRule type="expression" priority="15825" stopIfTrue="1" id="{00EE595D-D89E-431F-BE3A-5343A63E1EDB}">
            <xm:f>AND(IF(H209='Plan de Accion 2018'!X154,H209&lt;&gt;"N/A"))</xm:f>
            <x14:dxf>
              <fill>
                <patternFill>
                  <bgColor rgb="FF00B050"/>
                </patternFill>
              </fill>
            </x14:dxf>
          </x14:cfRule>
          <x14:cfRule type="expression" priority="15826" stopIfTrue="1" id="{52C94201-6FC1-4E11-B07B-06A0F9B26529}">
            <xm:f>AND(IF(H209&lt;'Plan de Accion 2018'!X154,H209&lt;&gt;"N/A"))</xm:f>
            <x14:dxf>
              <fill>
                <patternFill>
                  <bgColor indexed="10"/>
                </patternFill>
              </fill>
            </x14:dxf>
          </x14:cfRule>
          <xm:sqref>H209</xm:sqref>
        </x14:conditionalFormatting>
        <x14:conditionalFormatting xmlns:xm="http://schemas.microsoft.com/office/excel/2006/main">
          <x14:cfRule type="expression" priority="15815" id="{1523E02A-3925-41A3-BF96-39A403EB014B}">
            <xm:f>AND(IF(H173&gt;'Plan de Accion 2018'!X13,H173&lt;&gt;¨N/A¨))</xm:f>
            <x14:dxf>
              <fill>
                <patternFill>
                  <bgColor theme="1" tint="0.499984740745262"/>
                </patternFill>
              </fill>
            </x14:dxf>
          </x14:cfRule>
          <x14:cfRule type="expression" priority="15816" stopIfTrue="1" id="{7B1800F9-DF49-4379-A2FC-B91DB3005E14}">
            <xm:f>AND(IF(H173='Plan de Accion 2018'!X13,H173&lt;&gt;"N/A"))</xm:f>
            <x14:dxf>
              <fill>
                <patternFill>
                  <bgColor rgb="FF00B050"/>
                </patternFill>
              </fill>
            </x14:dxf>
          </x14:cfRule>
          <x14:cfRule type="expression" priority="15817" stopIfTrue="1" id="{471274C0-72AA-4AA8-9629-F75AC9BB3108}">
            <xm:f>AND(IF(H173&lt;'Plan de Accion 2018'!X13,H173&lt;&gt;"N/A"))</xm:f>
            <x14:dxf>
              <fill>
                <patternFill>
                  <bgColor indexed="10"/>
                </patternFill>
              </fill>
            </x14:dxf>
          </x14:cfRule>
          <xm:sqref>H173:H174</xm:sqref>
        </x14:conditionalFormatting>
        <x14:conditionalFormatting xmlns:xm="http://schemas.microsoft.com/office/excel/2006/main">
          <x14:cfRule type="expression" priority="15809" id="{857D2DFE-5120-4DA2-BFBD-F094B9746C61}">
            <xm:f>AND(IF(H175&gt;'Plan de Accion 2018'!X46,H175&lt;&gt;¨N/A¨))</xm:f>
            <x14:dxf>
              <fill>
                <patternFill>
                  <bgColor theme="1" tint="0.499984740745262"/>
                </patternFill>
              </fill>
            </x14:dxf>
          </x14:cfRule>
          <x14:cfRule type="expression" priority="15810" stopIfTrue="1" id="{D1215E61-DCE0-41A8-B2C2-63E9F380E1B9}">
            <xm:f>AND(IF(H175='Plan de Accion 2018'!X46,H175&lt;&gt;"N/A"))</xm:f>
            <x14:dxf>
              <fill>
                <patternFill>
                  <bgColor rgb="FF00B050"/>
                </patternFill>
              </fill>
            </x14:dxf>
          </x14:cfRule>
          <x14:cfRule type="expression" priority="15811" stopIfTrue="1" id="{539F6F78-0917-4A71-B585-8A3C938771FA}">
            <xm:f>AND(IF(H175&lt;'Plan de Accion 2018'!X46,H175&lt;&gt;"N/A"))</xm:f>
            <x14:dxf>
              <fill>
                <patternFill>
                  <bgColor indexed="10"/>
                </patternFill>
              </fill>
            </x14:dxf>
          </x14:cfRule>
          <xm:sqref>H175:H176</xm:sqref>
        </x14:conditionalFormatting>
        <x14:conditionalFormatting xmlns:xm="http://schemas.microsoft.com/office/excel/2006/main">
          <x14:cfRule type="expression" priority="15803" id="{0069D929-6632-4C0E-8162-795C48046B7A}">
            <xm:f>AND(IF(H177&gt;'Plan de Accion 2018'!X65,H177&lt;&gt;¨N/A¨))</xm:f>
            <x14:dxf>
              <fill>
                <patternFill>
                  <bgColor theme="1" tint="0.499984740745262"/>
                </patternFill>
              </fill>
            </x14:dxf>
          </x14:cfRule>
          <x14:cfRule type="expression" priority="15804" stopIfTrue="1" id="{CD7B24CE-2B0E-421E-B345-729E2C962CF9}">
            <xm:f>AND(IF(H177='Plan de Accion 2018'!X65,H177&lt;&gt;"N/A"))</xm:f>
            <x14:dxf>
              <fill>
                <patternFill>
                  <bgColor rgb="FF00B050"/>
                </patternFill>
              </fill>
            </x14:dxf>
          </x14:cfRule>
          <x14:cfRule type="expression" priority="15805" stopIfTrue="1" id="{1882F5F0-E435-4220-B4B2-BE8AABB4BFF8}">
            <xm:f>AND(IF(H177&lt;'Plan de Accion 2018'!X65,H177&lt;&gt;"N/A"))</xm:f>
            <x14:dxf>
              <fill>
                <patternFill>
                  <bgColor indexed="10"/>
                </patternFill>
              </fill>
            </x14:dxf>
          </x14:cfRule>
          <xm:sqref>H177:H178</xm:sqref>
        </x14:conditionalFormatting>
        <x14:conditionalFormatting xmlns:xm="http://schemas.microsoft.com/office/excel/2006/main">
          <x14:cfRule type="expression" priority="15797" id="{9023D58E-D9E9-48BC-96CC-9CA824AD6CBE}">
            <xm:f>AND(IF(H179&gt;'Plan de Accion 2018'!X77,H179&lt;&gt;¨N/A¨))</xm:f>
            <x14:dxf>
              <fill>
                <patternFill>
                  <bgColor theme="1" tint="0.499984740745262"/>
                </patternFill>
              </fill>
            </x14:dxf>
          </x14:cfRule>
          <x14:cfRule type="expression" priority="15798" stopIfTrue="1" id="{A02CA597-C0BA-477D-B125-1F776BF6FF03}">
            <xm:f>AND(IF(H179='Plan de Accion 2018'!X77,H179&lt;&gt;"N/A"))</xm:f>
            <x14:dxf>
              <fill>
                <patternFill>
                  <bgColor rgb="FF00B050"/>
                </patternFill>
              </fill>
            </x14:dxf>
          </x14:cfRule>
          <x14:cfRule type="expression" priority="15799" stopIfTrue="1" id="{1549CAF8-AE1D-450A-B6FF-38AE00390A9E}">
            <xm:f>AND(IF(H179&lt;'Plan de Accion 2018'!X77,H179&lt;&gt;"N/A"))</xm:f>
            <x14:dxf>
              <fill>
                <patternFill>
                  <bgColor indexed="10"/>
                </patternFill>
              </fill>
            </x14:dxf>
          </x14:cfRule>
          <xm:sqref>H179:H180</xm:sqref>
        </x14:conditionalFormatting>
        <x14:conditionalFormatting xmlns:xm="http://schemas.microsoft.com/office/excel/2006/main">
          <x14:cfRule type="expression" priority="15791" id="{3466D8F8-582B-4326-84CF-7975E79E6317}">
            <xm:f>AND(IF(H181&gt;'Plan de Accion 2018'!X90,H181&lt;&gt;¨N/A¨))</xm:f>
            <x14:dxf>
              <fill>
                <patternFill>
                  <bgColor theme="1" tint="0.499984740745262"/>
                </patternFill>
              </fill>
            </x14:dxf>
          </x14:cfRule>
          <x14:cfRule type="expression" priority="15792" stopIfTrue="1" id="{3EE2D88A-F1B0-409E-8FCA-4AAA3AF6B837}">
            <xm:f>AND(IF(H181='Plan de Accion 2018'!X90,H181&lt;&gt;"N/A"))</xm:f>
            <x14:dxf>
              <fill>
                <patternFill>
                  <bgColor rgb="FF00B050"/>
                </patternFill>
              </fill>
            </x14:dxf>
          </x14:cfRule>
          <x14:cfRule type="expression" priority="15793" stopIfTrue="1" id="{111DE0D0-3939-4B09-AC41-AAEAABC77CCC}">
            <xm:f>AND(IF(H181&lt;'Plan de Accion 2018'!X90,H181&lt;&gt;"N/A"))</xm:f>
            <x14:dxf>
              <fill>
                <patternFill>
                  <bgColor indexed="10"/>
                </patternFill>
              </fill>
            </x14:dxf>
          </x14:cfRule>
          <xm:sqref>H181:H182</xm:sqref>
        </x14:conditionalFormatting>
        <x14:conditionalFormatting xmlns:xm="http://schemas.microsoft.com/office/excel/2006/main">
          <x14:cfRule type="expression" priority="15785" id="{EFF6030F-C379-4D84-A32E-18B7CB608827}">
            <xm:f>AND(IF(H183&gt;'Plan de Accion 2018'!X99,H183&lt;&gt;¨N/A¨))</xm:f>
            <x14:dxf>
              <fill>
                <patternFill>
                  <bgColor theme="1" tint="0.499984740745262"/>
                </patternFill>
              </fill>
            </x14:dxf>
          </x14:cfRule>
          <x14:cfRule type="expression" priority="15786" stopIfTrue="1" id="{EE2C1EB9-8BC5-4B71-B10B-4849F6385F01}">
            <xm:f>AND(IF(H183='Plan de Accion 2018'!X99,H183&lt;&gt;"N/A"))</xm:f>
            <x14:dxf>
              <fill>
                <patternFill>
                  <bgColor rgb="FF00B050"/>
                </patternFill>
              </fill>
            </x14:dxf>
          </x14:cfRule>
          <x14:cfRule type="expression" priority="15787" stopIfTrue="1" id="{5B2EBBAB-97F0-4837-A2C1-7A05240E41CB}">
            <xm:f>AND(IF(H183&lt;'Plan de Accion 2018'!X99,H183&lt;&gt;"N/A"))</xm:f>
            <x14:dxf>
              <fill>
                <patternFill>
                  <bgColor indexed="10"/>
                </patternFill>
              </fill>
            </x14:dxf>
          </x14:cfRule>
          <xm:sqref>H183:H184</xm:sqref>
        </x14:conditionalFormatting>
        <x14:conditionalFormatting xmlns:xm="http://schemas.microsoft.com/office/excel/2006/main">
          <x14:cfRule type="expression" priority="15779" id="{CADB7F3C-5FD8-46CC-984A-70B39F967A58}">
            <xm:f>AND(IF(H185&gt;'Plan de Accion 2018'!X104,H185&lt;&gt;¨N/A¨))</xm:f>
            <x14:dxf>
              <fill>
                <patternFill>
                  <bgColor theme="1" tint="0.499984740745262"/>
                </patternFill>
              </fill>
            </x14:dxf>
          </x14:cfRule>
          <x14:cfRule type="expression" priority="15780" stopIfTrue="1" id="{F7B03922-E71A-4D5A-B768-BC6CA0C48FA4}">
            <xm:f>AND(IF(H185='Plan de Accion 2018'!X104,H185&lt;&gt;"N/A"))</xm:f>
            <x14:dxf>
              <fill>
                <patternFill>
                  <bgColor rgb="FF00B050"/>
                </patternFill>
              </fill>
            </x14:dxf>
          </x14:cfRule>
          <x14:cfRule type="expression" priority="15781" stopIfTrue="1" id="{8C1C5965-54B7-4691-9575-FA7ACCDC854C}">
            <xm:f>AND(IF(H185&lt;'Plan de Accion 2018'!X104,H185&lt;&gt;"N/A"))</xm:f>
            <x14:dxf>
              <fill>
                <patternFill>
                  <bgColor indexed="10"/>
                </patternFill>
              </fill>
            </x14:dxf>
          </x14:cfRule>
          <xm:sqref>H185</xm:sqref>
        </x14:conditionalFormatting>
        <x14:conditionalFormatting xmlns:xm="http://schemas.microsoft.com/office/excel/2006/main">
          <x14:cfRule type="expression" priority="15776" id="{7E4461A3-2611-4AA9-A66F-B13DE2D47BA5}">
            <xm:f>AND(IF(H186&gt;'Plan de Accion 2018'!X110,H186&lt;&gt;¨N/A¨))</xm:f>
            <x14:dxf>
              <fill>
                <patternFill>
                  <bgColor theme="1" tint="0.499984740745262"/>
                </patternFill>
              </fill>
            </x14:dxf>
          </x14:cfRule>
          <x14:cfRule type="expression" priority="15777" stopIfTrue="1" id="{A3FCA3BA-2D16-4EB6-BCA3-A75AB1060648}">
            <xm:f>AND(IF(H186='Plan de Accion 2018'!X110,H186&lt;&gt;"N/A"))</xm:f>
            <x14:dxf>
              <fill>
                <patternFill>
                  <bgColor rgb="FF00B050"/>
                </patternFill>
              </fill>
            </x14:dxf>
          </x14:cfRule>
          <x14:cfRule type="expression" priority="15778" stopIfTrue="1" id="{48C30B03-FC48-4704-96C7-4419515D9472}">
            <xm:f>AND(IF(H186&lt;'Plan de Accion 2018'!X110,H186&lt;&gt;"N/A"))</xm:f>
            <x14:dxf>
              <fill>
                <patternFill>
                  <bgColor indexed="10"/>
                </patternFill>
              </fill>
            </x14:dxf>
          </x14:cfRule>
          <xm:sqref>H186</xm:sqref>
        </x14:conditionalFormatting>
        <x14:conditionalFormatting xmlns:xm="http://schemas.microsoft.com/office/excel/2006/main">
          <x14:cfRule type="expression" priority="15773" id="{F10D625D-EAFA-4E0E-A34F-37C73D161080}">
            <xm:f>AND(IF(H187&gt;'Plan de Accion 2018'!X113,H187&lt;&gt;¨N/A¨))</xm:f>
            <x14:dxf>
              <fill>
                <patternFill>
                  <bgColor theme="1" tint="0.499984740745262"/>
                </patternFill>
              </fill>
            </x14:dxf>
          </x14:cfRule>
          <x14:cfRule type="expression" priority="15774" stopIfTrue="1" id="{F3180275-7D80-443F-8246-8699A1F71B61}">
            <xm:f>AND(IF(H187='Plan de Accion 2018'!X113,H187&lt;&gt;"N/A"))</xm:f>
            <x14:dxf>
              <fill>
                <patternFill>
                  <bgColor rgb="FF00B050"/>
                </patternFill>
              </fill>
            </x14:dxf>
          </x14:cfRule>
          <x14:cfRule type="expression" priority="15775" stopIfTrue="1" id="{FED6FDF5-EBE6-4D36-A899-45F27F513985}">
            <xm:f>AND(IF(H187&lt;'Plan de Accion 2018'!X113,H187&lt;&gt;"N/A"))</xm:f>
            <x14:dxf>
              <fill>
                <patternFill>
                  <bgColor indexed="10"/>
                </patternFill>
              </fill>
            </x14:dxf>
          </x14:cfRule>
          <xm:sqref>H187</xm:sqref>
        </x14:conditionalFormatting>
        <x14:conditionalFormatting xmlns:xm="http://schemas.microsoft.com/office/excel/2006/main">
          <x14:cfRule type="expression" priority="15770" id="{5FA449BC-EE6F-40D2-9144-36B927DA06E1}">
            <xm:f>AND(IF(H188&gt;'Plan de Accion 2018'!X115,H188&lt;&gt;¨N/A¨))</xm:f>
            <x14:dxf>
              <fill>
                <patternFill>
                  <bgColor theme="1" tint="0.499984740745262"/>
                </patternFill>
              </fill>
            </x14:dxf>
          </x14:cfRule>
          <x14:cfRule type="expression" priority="15771" stopIfTrue="1" id="{91DC5159-9D8B-4D20-9D1F-2A9EFAA0B302}">
            <xm:f>AND(IF(H188='Plan de Accion 2018'!X115,H188&lt;&gt;"N/A"))</xm:f>
            <x14:dxf>
              <fill>
                <patternFill>
                  <bgColor rgb="FF00B050"/>
                </patternFill>
              </fill>
            </x14:dxf>
          </x14:cfRule>
          <x14:cfRule type="expression" priority="15772" stopIfTrue="1" id="{7B0C2ABA-7D7D-413F-BF92-614259B8F00F}">
            <xm:f>AND(IF(H188&lt;'Plan de Accion 2018'!X115,H188&lt;&gt;"N/A"))</xm:f>
            <x14:dxf>
              <fill>
                <patternFill>
                  <bgColor indexed="10"/>
                </patternFill>
              </fill>
            </x14:dxf>
          </x14:cfRule>
          <xm:sqref>H188:H191</xm:sqref>
        </x14:conditionalFormatting>
        <x14:conditionalFormatting xmlns:xm="http://schemas.microsoft.com/office/excel/2006/main">
          <x14:cfRule type="expression" priority="15749" id="{FCC5F5C9-0F99-41E5-AD69-B1974889B1A6}">
            <xm:f>AND(IF(H196&gt;'Plan de Accion 2018'!X63,H196&lt;&gt;¨N/A¨))</xm:f>
            <x14:dxf>
              <fill>
                <patternFill>
                  <bgColor theme="1" tint="0.499984740745262"/>
                </patternFill>
              </fill>
            </x14:dxf>
          </x14:cfRule>
          <x14:cfRule type="expression" priority="15750" stopIfTrue="1" id="{C6BB74E2-453A-4136-BA3A-A287D4E7D4AC}">
            <xm:f>AND(IF(H196='Plan de Accion 2018'!X63,H196&lt;&gt;"N/A"))</xm:f>
            <x14:dxf>
              <fill>
                <patternFill>
                  <bgColor rgb="FF00B050"/>
                </patternFill>
              </fill>
            </x14:dxf>
          </x14:cfRule>
          <x14:cfRule type="expression" priority="15751" stopIfTrue="1" id="{9BB417B0-6A47-4056-A209-EEA9D54D2D7A}">
            <xm:f>AND(IF(H196&lt;'Plan de Accion 2018'!X63,H196&lt;&gt;"N/A"))</xm:f>
            <x14:dxf>
              <fill>
                <patternFill>
                  <bgColor indexed="10"/>
                </patternFill>
              </fill>
            </x14:dxf>
          </x14:cfRule>
          <xm:sqref>H196</xm:sqref>
        </x14:conditionalFormatting>
        <x14:conditionalFormatting xmlns:xm="http://schemas.microsoft.com/office/excel/2006/main">
          <x14:cfRule type="expression" priority="15746" id="{78E35D6F-1D68-4015-93A6-EC633D2F48FC}">
            <xm:f>AND(IF(H197&gt;'Plan de Accion 2018'!X71,H197&lt;&gt;¨N/A¨))</xm:f>
            <x14:dxf>
              <fill>
                <patternFill>
                  <bgColor theme="1" tint="0.499984740745262"/>
                </patternFill>
              </fill>
            </x14:dxf>
          </x14:cfRule>
          <x14:cfRule type="expression" priority="15747" stopIfTrue="1" id="{282AD478-160B-4A6A-8782-116DB5C571E5}">
            <xm:f>AND(IF(H197='Plan de Accion 2018'!X71,H197&lt;&gt;"N/A"))</xm:f>
            <x14:dxf>
              <fill>
                <patternFill>
                  <bgColor rgb="FF00B050"/>
                </patternFill>
              </fill>
            </x14:dxf>
          </x14:cfRule>
          <x14:cfRule type="expression" priority="15748" stopIfTrue="1" id="{47FD856B-F27C-4649-BCE1-64978A31C5C6}">
            <xm:f>AND(IF(H197&lt;'Plan de Accion 2018'!X71,H197&lt;&gt;"N/A"))</xm:f>
            <x14:dxf>
              <fill>
                <patternFill>
                  <bgColor indexed="10"/>
                </patternFill>
              </fill>
            </x14:dxf>
          </x14:cfRule>
          <xm:sqref>H197</xm:sqref>
        </x14:conditionalFormatting>
        <x14:conditionalFormatting xmlns:xm="http://schemas.microsoft.com/office/excel/2006/main">
          <x14:cfRule type="expression" priority="15743" id="{055B1447-593F-4605-B776-EE96019A85D2}">
            <xm:f>AND(IF(H199&gt;'Plan de Accion 2018'!X79,H199&lt;&gt;¨N/A¨))</xm:f>
            <x14:dxf>
              <fill>
                <patternFill>
                  <bgColor theme="1" tint="0.499984740745262"/>
                </patternFill>
              </fill>
            </x14:dxf>
          </x14:cfRule>
          <x14:cfRule type="expression" priority="15744" stopIfTrue="1" id="{499F616C-0424-47D3-8894-714B4E3A8FEA}">
            <xm:f>AND(IF(H199='Plan de Accion 2018'!X79,H199&lt;&gt;"N/A"))</xm:f>
            <x14:dxf>
              <fill>
                <patternFill>
                  <bgColor rgb="FF00B050"/>
                </patternFill>
              </fill>
            </x14:dxf>
          </x14:cfRule>
          <x14:cfRule type="expression" priority="15745" stopIfTrue="1" id="{42DD10BB-C61F-420D-A18F-67A8F5399298}">
            <xm:f>AND(IF(H199&lt;'Plan de Accion 2018'!X79,H199&lt;&gt;"N/A"))</xm:f>
            <x14:dxf>
              <fill>
                <patternFill>
                  <bgColor indexed="10"/>
                </patternFill>
              </fill>
            </x14:dxf>
          </x14:cfRule>
          <xm:sqref>H199</xm:sqref>
        </x14:conditionalFormatting>
        <x14:conditionalFormatting xmlns:xm="http://schemas.microsoft.com/office/excel/2006/main">
          <x14:cfRule type="expression" priority="15740" id="{42CAC145-D75C-49A4-A607-9B1C15C35887}">
            <xm:f>AND(IF(H200&gt;'Plan de Accion 2018'!X83,H200&lt;&gt;¨N/A¨))</xm:f>
            <x14:dxf>
              <fill>
                <patternFill>
                  <bgColor theme="1" tint="0.499984740745262"/>
                </patternFill>
              </fill>
            </x14:dxf>
          </x14:cfRule>
          <x14:cfRule type="expression" priority="15741" stopIfTrue="1" id="{1F7745A5-7BD6-4F42-B861-05CE768A71DC}">
            <xm:f>AND(IF(H200='Plan de Accion 2018'!X83,H200&lt;&gt;"N/A"))</xm:f>
            <x14:dxf>
              <fill>
                <patternFill>
                  <bgColor rgb="FF00B050"/>
                </patternFill>
              </fill>
            </x14:dxf>
          </x14:cfRule>
          <x14:cfRule type="expression" priority="15742" stopIfTrue="1" id="{1E4E7FE7-7732-4AFD-A32F-783BD9045A62}">
            <xm:f>AND(IF(H200&lt;'Plan de Accion 2018'!X83,H200&lt;&gt;"N/A"))</xm:f>
            <x14:dxf>
              <fill>
                <patternFill>
                  <bgColor indexed="10"/>
                </patternFill>
              </fill>
            </x14:dxf>
          </x14:cfRule>
          <xm:sqref>H200:H201</xm:sqref>
        </x14:conditionalFormatting>
        <x14:conditionalFormatting xmlns:xm="http://schemas.microsoft.com/office/excel/2006/main">
          <x14:cfRule type="expression" priority="15734" id="{B5A5660C-3053-41A0-A098-D258E656A072}">
            <xm:f>AND(IF(H203&gt;'Plan de Accion 2018'!X73,H203&lt;&gt;¨N/A¨))</xm:f>
            <x14:dxf>
              <fill>
                <patternFill>
                  <bgColor theme="1" tint="0.499984740745262"/>
                </patternFill>
              </fill>
            </x14:dxf>
          </x14:cfRule>
          <x14:cfRule type="expression" priority="15735" stopIfTrue="1" id="{E2B5B27E-CDF3-450A-8057-12E89A8892C8}">
            <xm:f>AND(IF(H203='Plan de Accion 2018'!X73,H203&lt;&gt;"N/A"))</xm:f>
            <x14:dxf>
              <fill>
                <patternFill>
                  <bgColor rgb="FF00B050"/>
                </patternFill>
              </fill>
            </x14:dxf>
          </x14:cfRule>
          <x14:cfRule type="expression" priority="15736" stopIfTrue="1" id="{E56D0686-0082-45FA-963D-A81530F215ED}">
            <xm:f>AND(IF(H203&lt;'Plan de Accion 2018'!X73,H203&lt;&gt;"N/A"))</xm:f>
            <x14:dxf>
              <fill>
                <patternFill>
                  <bgColor indexed="10"/>
                </patternFill>
              </fill>
            </x14:dxf>
          </x14:cfRule>
          <xm:sqref>H203</xm:sqref>
        </x14:conditionalFormatting>
        <x14:conditionalFormatting xmlns:xm="http://schemas.microsoft.com/office/excel/2006/main">
          <x14:cfRule type="expression" priority="15731" id="{4B3DAEF0-1FED-4309-9C42-94A83F5C7FC9}">
            <xm:f>AND(IF(H204&gt;'Plan de Accion 2018'!X129,H204&lt;&gt;¨N/A¨))</xm:f>
            <x14:dxf>
              <fill>
                <patternFill>
                  <bgColor theme="1" tint="0.499984740745262"/>
                </patternFill>
              </fill>
            </x14:dxf>
          </x14:cfRule>
          <x14:cfRule type="expression" priority="15732" stopIfTrue="1" id="{507012F1-ADE4-4BA7-9884-285F191304DB}">
            <xm:f>AND(IF(H204='Plan de Accion 2018'!X129,H204&lt;&gt;"N/A"))</xm:f>
            <x14:dxf>
              <fill>
                <patternFill>
                  <bgColor rgb="FF00B050"/>
                </patternFill>
              </fill>
            </x14:dxf>
          </x14:cfRule>
          <x14:cfRule type="expression" priority="15733" stopIfTrue="1" id="{93F7499C-2CC0-405B-86CF-E30C012F02C9}">
            <xm:f>AND(IF(H204&lt;'Plan de Accion 2018'!X129,H204&lt;&gt;"N/A"))</xm:f>
            <x14:dxf>
              <fill>
                <patternFill>
                  <bgColor indexed="10"/>
                </patternFill>
              </fill>
            </x14:dxf>
          </x14:cfRule>
          <xm:sqref>H204:H206</xm:sqref>
        </x14:conditionalFormatting>
        <x14:conditionalFormatting xmlns:xm="http://schemas.microsoft.com/office/excel/2006/main">
          <x14:cfRule type="expression" priority="15716" id="{FA0E0588-194E-47B7-B92D-66FFADB788E1}">
            <xm:f>AND(IF(H212&gt;'Plan de Accion 2018'!X101,H212&lt;&gt;¨N/A¨))</xm:f>
            <x14:dxf>
              <fill>
                <patternFill>
                  <bgColor theme="1" tint="0.499984740745262"/>
                </patternFill>
              </fill>
            </x14:dxf>
          </x14:cfRule>
          <x14:cfRule type="expression" priority="15717" stopIfTrue="1" id="{D2013A1A-D98F-4D47-9940-481A9F75A505}">
            <xm:f>AND(IF(H212='Plan de Accion 2018'!X101,H212&lt;&gt;"N/A"))</xm:f>
            <x14:dxf>
              <fill>
                <patternFill>
                  <bgColor rgb="FF00B050"/>
                </patternFill>
              </fill>
            </x14:dxf>
          </x14:cfRule>
          <x14:cfRule type="expression" priority="15718" stopIfTrue="1" id="{C1C1A054-AB17-4C07-8A0C-0F3F6F66E89D}">
            <xm:f>AND(IF(H212&lt;'Plan de Accion 2018'!X101,H212&lt;&gt;"N/A"))</xm:f>
            <x14:dxf>
              <fill>
                <patternFill>
                  <bgColor indexed="10"/>
                </patternFill>
              </fill>
            </x14:dxf>
          </x14:cfRule>
          <xm:sqref>H212:H213</xm:sqref>
        </x14:conditionalFormatting>
        <x14:conditionalFormatting xmlns:xm="http://schemas.microsoft.com/office/excel/2006/main">
          <x14:cfRule type="expression" priority="15710" id="{0097922E-B8ED-4C09-9891-760EE7F462ED}">
            <xm:f>AND(IF(H214&gt;'Plan de Accion 2018'!X121,H214&lt;&gt;¨N/A¨))</xm:f>
            <x14:dxf>
              <fill>
                <patternFill>
                  <bgColor theme="1" tint="0.499984740745262"/>
                </patternFill>
              </fill>
            </x14:dxf>
          </x14:cfRule>
          <x14:cfRule type="expression" priority="15711" stopIfTrue="1" id="{C5A0B0F8-2CF7-4787-ACFA-6BB735960719}">
            <xm:f>AND(IF(H214='Plan de Accion 2018'!X121,H214&lt;&gt;"N/A"))</xm:f>
            <x14:dxf>
              <fill>
                <patternFill>
                  <bgColor rgb="FF00B050"/>
                </patternFill>
              </fill>
            </x14:dxf>
          </x14:cfRule>
          <x14:cfRule type="expression" priority="15712" stopIfTrue="1" id="{E7F928BE-F98C-43F1-AD06-6D4FF4D493D8}">
            <xm:f>AND(IF(H214&lt;'Plan de Accion 2018'!X121,H214&lt;&gt;"N/A"))</xm:f>
            <x14:dxf>
              <fill>
                <patternFill>
                  <bgColor indexed="10"/>
                </patternFill>
              </fill>
            </x14:dxf>
          </x14:cfRule>
          <xm:sqref>H214</xm:sqref>
        </x14:conditionalFormatting>
        <x14:conditionalFormatting xmlns:xm="http://schemas.microsoft.com/office/excel/2006/main">
          <x14:cfRule type="expression" priority="15704" id="{9635B60D-3B78-43AA-94BF-3F988CFCC799}">
            <xm:f>AND(IF(L29&gt;'Plan de Accion 2018'!AH104,L29&lt;&gt;¨N/A¨))</xm:f>
            <x14:dxf>
              <fill>
                <patternFill>
                  <bgColor theme="1" tint="0.499984740745262"/>
                </patternFill>
              </fill>
            </x14:dxf>
          </x14:cfRule>
          <x14:cfRule type="expression" priority="15708" stopIfTrue="1" id="{404F032B-48CE-458A-9249-84803D96C9EB}">
            <xm:f>AND(IF(L29='Plan de Accion 2018'!AH104,L29&lt;&gt;"N/A"))</xm:f>
            <x14:dxf>
              <fill>
                <patternFill>
                  <bgColor rgb="FF00B050"/>
                </patternFill>
              </fill>
            </x14:dxf>
          </x14:cfRule>
          <x14:cfRule type="expression" priority="15709" stopIfTrue="1" id="{E83C4961-5DDE-4A21-9CED-7232A00AC2BA}">
            <xm:f>AND(IF(L29&lt;'Plan de Accion 2018'!AH104,L29&lt;&gt;"N/A"))</xm:f>
            <x14:dxf>
              <fill>
                <patternFill>
                  <bgColor indexed="10"/>
                </patternFill>
              </fill>
            </x14:dxf>
          </x14:cfRule>
          <xm:sqref>L75:L78 L29 L32</xm:sqref>
        </x14:conditionalFormatting>
        <x14:conditionalFormatting xmlns:xm="http://schemas.microsoft.com/office/excel/2006/main">
          <x14:cfRule type="expression" priority="16262" id="{3E64CA38-8982-4263-ACEE-A5C813A4BDBA}">
            <xm:f>AND(IF(H18&gt;'Plan de Accion 2018'!AH105,H18&lt;&gt;¨N/A¨))</xm:f>
            <x14:dxf>
              <fill>
                <patternFill>
                  <bgColor theme="1" tint="0.499984740745262"/>
                </patternFill>
              </fill>
            </x14:dxf>
          </x14:cfRule>
          <x14:cfRule type="expression" priority="16263" stopIfTrue="1" id="{4747C3CE-5C84-4A34-8CF9-E5669252D8C7}">
            <xm:f>AND(IF(H18='Plan de Accion 2018'!AH105,H18&lt;&gt;"N/A"))</xm:f>
            <x14:dxf>
              <fill>
                <patternFill>
                  <bgColor rgb="FF00B050"/>
                </patternFill>
              </fill>
            </x14:dxf>
          </x14:cfRule>
          <x14:cfRule type="expression" priority="16264" stopIfTrue="1" id="{BFD53C62-084B-466D-8E5F-F25ABC95D3A7}">
            <xm:f>AND(IF(H18&lt;'Plan de Accion 2018'!AH105,H18&lt;&gt;"N/A"))</xm:f>
            <x14:dxf>
              <fill>
                <patternFill>
                  <bgColor indexed="10"/>
                </patternFill>
              </fill>
            </x14:dxf>
          </x14:cfRule>
          <xm:sqref>H18</xm:sqref>
        </x14:conditionalFormatting>
        <x14:conditionalFormatting xmlns:xm="http://schemas.microsoft.com/office/excel/2006/main">
          <x14:cfRule type="expression" priority="3152" id="{27460D10-EF80-41AA-9014-B61C6B752E95}">
            <xm:f>AND(IF(L18&gt;'Plan de Accion 2018'!AH105,L18&lt;&gt;¨N/A¨))</xm:f>
            <x14:dxf>
              <fill>
                <patternFill>
                  <bgColor theme="1" tint="0.499984740745262"/>
                </patternFill>
              </fill>
            </x14:dxf>
          </x14:cfRule>
          <x14:cfRule type="expression" priority="3153" stopIfTrue="1" id="{ABED78E1-5615-4D04-B3F7-A96D1A82646C}">
            <xm:f>AND(IF(L18='Plan de Accion 2018'!AH105,L18&lt;&gt;"N/A"))</xm:f>
            <x14:dxf>
              <fill>
                <patternFill>
                  <bgColor rgb="FF00B050"/>
                </patternFill>
              </fill>
            </x14:dxf>
          </x14:cfRule>
          <x14:cfRule type="expression" priority="3154" stopIfTrue="1" id="{067995D4-F35C-4D1E-8184-310EE829EB38}">
            <xm:f>AND(IF(L18&lt;'Plan de Accion 2018'!AH105,L18&lt;&gt;"N/A"))</xm:f>
            <x14:dxf>
              <fill>
                <patternFill>
                  <bgColor indexed="10"/>
                </patternFill>
              </fill>
            </x14:dxf>
          </x14:cfRule>
          <xm:sqref>L18:L19</xm:sqref>
        </x14:conditionalFormatting>
        <x14:conditionalFormatting xmlns:xm="http://schemas.microsoft.com/office/excel/2006/main">
          <x14:cfRule type="expression" priority="3149" id="{46EA064C-B5E6-4A56-A13B-D0EB1C2A6C39}">
            <xm:f>AND(IF(H19&gt;'Plan de Accion 2018'!X106,H19&lt;&gt;¨N/A¨))</xm:f>
            <x14:dxf>
              <fill>
                <patternFill>
                  <bgColor theme="1" tint="0.499984740745262"/>
                </patternFill>
              </fill>
            </x14:dxf>
          </x14:cfRule>
          <x14:cfRule type="expression" priority="3150" stopIfTrue="1" id="{DC94D3B2-2CA0-41AE-B9B0-8EA7F9DB5F05}">
            <xm:f>AND(IF(H19='Plan de Accion 2018'!X106,H19&lt;&gt;"N/A"))</xm:f>
            <x14:dxf>
              <fill>
                <patternFill>
                  <bgColor rgb="FF00B050"/>
                </patternFill>
              </fill>
            </x14:dxf>
          </x14:cfRule>
          <x14:cfRule type="expression" priority="3151" stopIfTrue="1" id="{7EF2E7CB-84E2-476A-AE16-FC149FAE3789}">
            <xm:f>AND(IF(H19&lt;'Plan de Accion 2018'!X106,H19&lt;&gt;"N/A"))</xm:f>
            <x14:dxf>
              <fill>
                <patternFill>
                  <bgColor indexed="10"/>
                </patternFill>
              </fill>
            </x14:dxf>
          </x14:cfRule>
          <xm:sqref>H19</xm:sqref>
        </x14:conditionalFormatting>
        <x14:conditionalFormatting xmlns:xm="http://schemas.microsoft.com/office/excel/2006/main">
          <x14:cfRule type="expression" priority="16211" id="{FF3327D0-3CA5-4BF8-BF9E-AA8F2E33D7D9}">
            <xm:f>AND(IF(L20&gt;'Plan de Accion 2018'!AH145,L20&lt;&gt;¨N/A¨))</xm:f>
            <x14:dxf>
              <fill>
                <patternFill>
                  <bgColor theme="1" tint="0.499984740745262"/>
                </patternFill>
              </fill>
            </x14:dxf>
          </x14:cfRule>
          <x14:cfRule type="expression" priority="16212" stopIfTrue="1" id="{74B96E61-3F95-4149-A368-671CAEF4AAD2}">
            <xm:f>AND(IF(L20='Plan de Accion 2018'!AH145,L20&lt;&gt;"N/A"))</xm:f>
            <x14:dxf>
              <fill>
                <patternFill>
                  <bgColor rgb="FF00B050"/>
                </patternFill>
              </fill>
            </x14:dxf>
          </x14:cfRule>
          <x14:cfRule type="expression" priority="16213" stopIfTrue="1" id="{64BB88DA-4785-40D0-A052-D8AAFD5FFE70}">
            <xm:f>AND(IF(L20&lt;'Plan de Accion 2018'!AH145,L20&lt;&gt;"N/A"))</xm:f>
            <x14:dxf>
              <fill>
                <patternFill>
                  <bgColor indexed="10"/>
                </patternFill>
              </fill>
            </x14:dxf>
          </x14:cfRule>
          <xm:sqref>L20</xm:sqref>
        </x14:conditionalFormatting>
        <x14:conditionalFormatting xmlns:xm="http://schemas.microsoft.com/office/excel/2006/main">
          <x14:cfRule type="expression" priority="16208" id="{A3D87421-0B65-4F98-BBBF-FD1995679A4C}">
            <xm:f>AND(IF(L21&gt;'Plan de Accion 2018'!AH103,L21&lt;&gt;¨N/A¨))</xm:f>
            <x14:dxf>
              <fill>
                <patternFill>
                  <bgColor theme="1" tint="0.499984740745262"/>
                </patternFill>
              </fill>
            </x14:dxf>
          </x14:cfRule>
          <x14:cfRule type="expression" priority="16209" stopIfTrue="1" id="{41B26356-30DE-489A-AD26-15FD34136A65}">
            <xm:f>AND(IF(L21='Plan de Accion 2018'!AH103,L21&lt;&gt;"N/A"))</xm:f>
            <x14:dxf>
              <fill>
                <patternFill>
                  <bgColor rgb="FF00B050"/>
                </patternFill>
              </fill>
            </x14:dxf>
          </x14:cfRule>
          <x14:cfRule type="expression" priority="16210" stopIfTrue="1" id="{B0F10322-ECD8-4A2B-9C00-7C06EA305AD3}">
            <xm:f>AND(IF(L21&lt;'Plan de Accion 2018'!AH103,L21&lt;&gt;"N/A"))</xm:f>
            <x14:dxf>
              <fill>
                <patternFill>
                  <bgColor indexed="10"/>
                </patternFill>
              </fill>
            </x14:dxf>
          </x14:cfRule>
          <xm:sqref>L21</xm:sqref>
        </x14:conditionalFormatting>
        <x14:conditionalFormatting xmlns:xm="http://schemas.microsoft.com/office/excel/2006/main">
          <x14:cfRule type="expression" priority="16205" id="{AA37A142-6D08-42A2-8963-970C3FA27596}">
            <xm:f>AND(IF(L22&gt;'Plan de Accion 2018'!AH108,L22&lt;&gt;¨N/A¨))</xm:f>
            <x14:dxf>
              <fill>
                <patternFill>
                  <bgColor theme="1" tint="0.499984740745262"/>
                </patternFill>
              </fill>
            </x14:dxf>
          </x14:cfRule>
          <x14:cfRule type="expression" priority="16206" stopIfTrue="1" id="{AC4644A6-B025-4CEE-9F4C-5F0E6E9D54F5}">
            <xm:f>AND(IF(L22='Plan de Accion 2018'!AH108,L22&lt;&gt;"N/A"))</xm:f>
            <x14:dxf>
              <fill>
                <patternFill>
                  <bgColor rgb="FF00B050"/>
                </patternFill>
              </fill>
            </x14:dxf>
          </x14:cfRule>
          <x14:cfRule type="expression" priority="16207" stopIfTrue="1" id="{60E2013D-6E47-4232-BF6D-021E4B9F87DE}">
            <xm:f>AND(IF(L22&lt;'Plan de Accion 2018'!AH108,L22&lt;&gt;"N/A"))</xm:f>
            <x14:dxf>
              <fill>
                <patternFill>
                  <bgColor indexed="10"/>
                </patternFill>
              </fill>
            </x14:dxf>
          </x14:cfRule>
          <xm:sqref>L22:L23</xm:sqref>
        </x14:conditionalFormatting>
        <x14:conditionalFormatting xmlns:xm="http://schemas.microsoft.com/office/excel/2006/main">
          <x14:cfRule type="expression" priority="3143" id="{FBAFFB69-B454-4AA9-9773-EBC6F4EFEDCC}">
            <xm:f>AND(IF(H20&gt;'Plan de Accion 2018'!X145,H20&lt;&gt;¨N/A¨))</xm:f>
            <x14:dxf>
              <fill>
                <patternFill>
                  <bgColor theme="1" tint="0.499984740745262"/>
                </patternFill>
              </fill>
            </x14:dxf>
          </x14:cfRule>
          <x14:cfRule type="expression" priority="3144" stopIfTrue="1" id="{55212332-4A62-4D93-A4D3-6231801C5518}">
            <xm:f>AND(IF(H20='Plan de Accion 2018'!X145,H20&lt;&gt;"N/A"))</xm:f>
            <x14:dxf>
              <fill>
                <patternFill>
                  <bgColor rgb="FF00B050"/>
                </patternFill>
              </fill>
            </x14:dxf>
          </x14:cfRule>
          <x14:cfRule type="expression" priority="3145" stopIfTrue="1" id="{0B55D040-E2D1-49E3-B167-DD13749BBA17}">
            <xm:f>AND(IF(H20&lt;'Plan de Accion 2018'!X145,H20&lt;&gt;"N/A"))</xm:f>
            <x14:dxf>
              <fill>
                <patternFill>
                  <bgColor indexed="10"/>
                </patternFill>
              </fill>
            </x14:dxf>
          </x14:cfRule>
          <xm:sqref>H20</xm:sqref>
        </x14:conditionalFormatting>
        <x14:conditionalFormatting xmlns:xm="http://schemas.microsoft.com/office/excel/2006/main">
          <x14:cfRule type="expression" priority="3140" id="{8A556E88-A320-4F1B-B4C0-5F37C3CE23CC}">
            <xm:f>AND(IF(H21&gt;'Plan de Accion 2018'!X103,H21&lt;&gt;¨N/A¨))</xm:f>
            <x14:dxf>
              <fill>
                <patternFill>
                  <bgColor theme="1" tint="0.499984740745262"/>
                </patternFill>
              </fill>
            </x14:dxf>
          </x14:cfRule>
          <x14:cfRule type="expression" priority="3141" stopIfTrue="1" id="{E03999B2-AC49-4FAD-ADDA-0338539F0084}">
            <xm:f>AND(IF(H21='Plan de Accion 2018'!X103,H21&lt;&gt;"N/A"))</xm:f>
            <x14:dxf>
              <fill>
                <patternFill>
                  <bgColor rgb="FF00B050"/>
                </patternFill>
              </fill>
            </x14:dxf>
          </x14:cfRule>
          <x14:cfRule type="expression" priority="3142" stopIfTrue="1" id="{FB06060B-BB0E-4E8B-8A60-87532D0DA861}">
            <xm:f>AND(IF(H21&lt;'Plan de Accion 2018'!X103,H21&lt;&gt;"N/A"))</xm:f>
            <x14:dxf>
              <fill>
                <patternFill>
                  <bgColor indexed="10"/>
                </patternFill>
              </fill>
            </x14:dxf>
          </x14:cfRule>
          <xm:sqref>H21</xm:sqref>
        </x14:conditionalFormatting>
        <x14:conditionalFormatting xmlns:xm="http://schemas.microsoft.com/office/excel/2006/main">
          <x14:cfRule type="expression" priority="3137" id="{204D33F6-BAF1-4CC8-8C60-D1EC4849DBD6}">
            <xm:f>AND(IF(H22&gt;'Plan de Accion 2018'!X108,H22&lt;&gt;¨N/A¨))</xm:f>
            <x14:dxf>
              <fill>
                <patternFill>
                  <bgColor theme="1" tint="0.499984740745262"/>
                </patternFill>
              </fill>
            </x14:dxf>
          </x14:cfRule>
          <x14:cfRule type="expression" priority="3138" stopIfTrue="1" id="{BA32F0F2-A339-46A8-8F2B-C5E08664781A}">
            <xm:f>AND(IF(H22='Plan de Accion 2018'!X108,H22&lt;&gt;"N/A"))</xm:f>
            <x14:dxf>
              <fill>
                <patternFill>
                  <bgColor rgb="FF00B050"/>
                </patternFill>
              </fill>
            </x14:dxf>
          </x14:cfRule>
          <x14:cfRule type="expression" priority="3139" stopIfTrue="1" id="{79AEA6CD-0C2A-4A07-84FF-2EF94F816B6F}">
            <xm:f>AND(IF(H22&lt;'Plan de Accion 2018'!X108,H22&lt;&gt;"N/A"))</xm:f>
            <x14:dxf>
              <fill>
                <patternFill>
                  <bgColor indexed="10"/>
                </patternFill>
              </fill>
            </x14:dxf>
          </x14:cfRule>
          <xm:sqref>H22</xm:sqref>
        </x14:conditionalFormatting>
        <x14:conditionalFormatting xmlns:xm="http://schemas.microsoft.com/office/excel/2006/main">
          <x14:cfRule type="expression" priority="3131" id="{DB5BCAF0-D8EA-4608-B38D-3A272641E62B}">
            <xm:f>AND(IF(L24&gt;'Plan de Accion 2018'!AH112,L24&lt;&gt;¨N/A¨))</xm:f>
            <x14:dxf>
              <fill>
                <patternFill>
                  <bgColor theme="1" tint="0.499984740745262"/>
                </patternFill>
              </fill>
            </x14:dxf>
          </x14:cfRule>
          <x14:cfRule type="expression" priority="3132" stopIfTrue="1" id="{86696DC8-4807-4128-8290-F698F5DE6A76}">
            <xm:f>AND(IF(L24='Plan de Accion 2018'!AH112,L24&lt;&gt;"N/A"))</xm:f>
            <x14:dxf>
              <fill>
                <patternFill>
                  <bgColor rgb="FF00B050"/>
                </patternFill>
              </fill>
            </x14:dxf>
          </x14:cfRule>
          <x14:cfRule type="expression" priority="3133" stopIfTrue="1" id="{03777559-2D0F-44DF-A9EE-AC921DF473FA}">
            <xm:f>AND(IF(L24&lt;'Plan de Accion 2018'!AH112,L24&lt;&gt;"N/A"))</xm:f>
            <x14:dxf>
              <fill>
                <patternFill>
                  <bgColor indexed="10"/>
                </patternFill>
              </fill>
            </x14:dxf>
          </x14:cfRule>
          <xm:sqref>L24</xm:sqref>
        </x14:conditionalFormatting>
        <x14:conditionalFormatting xmlns:xm="http://schemas.microsoft.com/office/excel/2006/main">
          <x14:cfRule type="expression" priority="3116" id="{3049FA28-690B-4E60-9E9B-3501B5749827}">
            <xm:f>AND(IF(L30&gt;'Plan de Accion 2018'!AH110,L30&lt;&gt;¨N/A¨))</xm:f>
            <x14:dxf>
              <fill>
                <patternFill>
                  <bgColor theme="1" tint="0.499984740745262"/>
                </patternFill>
              </fill>
            </x14:dxf>
          </x14:cfRule>
          <x14:cfRule type="expression" priority="3117" stopIfTrue="1" id="{BD52468C-2751-44C4-9903-938ABE42300C}">
            <xm:f>AND(IF(L30='Plan de Accion 2018'!AH110,L30&lt;&gt;"N/A"))</xm:f>
            <x14:dxf>
              <fill>
                <patternFill>
                  <bgColor rgb="FF00B050"/>
                </patternFill>
              </fill>
            </x14:dxf>
          </x14:cfRule>
          <x14:cfRule type="expression" priority="3118" stopIfTrue="1" id="{17D199E1-925A-4D47-8EDD-EE40681D7315}">
            <xm:f>AND(IF(L30&lt;'Plan de Accion 2018'!AH110,L30&lt;&gt;"N/A"))</xm:f>
            <x14:dxf>
              <fill>
                <patternFill>
                  <bgColor indexed="10"/>
                </patternFill>
              </fill>
            </x14:dxf>
          </x14:cfRule>
          <xm:sqref>L30:L31 L33</xm:sqref>
        </x14:conditionalFormatting>
        <x14:conditionalFormatting xmlns:xm="http://schemas.microsoft.com/office/excel/2006/main">
          <x14:cfRule type="expression" priority="3104" id="{5DAAA9D6-611E-420E-BA41-6F1197435023}">
            <xm:f>AND(IF(L34&gt;'Plan de Accion 2018'!AH9,L34&lt;&gt;¨N/A¨))</xm:f>
            <x14:dxf>
              <fill>
                <patternFill>
                  <bgColor theme="1" tint="0.499984740745262"/>
                </patternFill>
              </fill>
            </x14:dxf>
          </x14:cfRule>
          <x14:cfRule type="expression" priority="3105" stopIfTrue="1" id="{1B368F98-C71B-4981-81AA-3E5440ABFB0E}">
            <xm:f>AND(IF(L34='Plan de Accion 2018'!AH9,L34&lt;&gt;"N/A"))</xm:f>
            <x14:dxf>
              <fill>
                <patternFill>
                  <bgColor rgb="FF00B050"/>
                </patternFill>
              </fill>
            </x14:dxf>
          </x14:cfRule>
          <x14:cfRule type="expression" priority="3106" stopIfTrue="1" id="{CEC7039C-E6BA-416B-A60C-EA6C218342B2}">
            <xm:f>AND(IF(L34&lt;'Plan de Accion 2018'!AH9,L34&lt;&gt;"N/A"))</xm:f>
            <x14:dxf>
              <fill>
                <patternFill>
                  <bgColor indexed="10"/>
                </patternFill>
              </fill>
            </x14:dxf>
          </x14:cfRule>
          <xm:sqref>L34 L150:L153</xm:sqref>
        </x14:conditionalFormatting>
        <x14:conditionalFormatting xmlns:xm="http://schemas.microsoft.com/office/excel/2006/main">
          <x14:cfRule type="expression" priority="3098" id="{6B66A804-738B-44F3-89C5-0844C9039C46}">
            <xm:f>AND(IF(L35&gt;'Plan de Accion 2018'!AH142,L35&lt;&gt;¨N/A¨))</xm:f>
            <x14:dxf>
              <fill>
                <patternFill>
                  <bgColor theme="1" tint="0.499984740745262"/>
                </patternFill>
              </fill>
            </x14:dxf>
          </x14:cfRule>
          <x14:cfRule type="expression" priority="3099" stopIfTrue="1" id="{D95B2FE5-83AC-4572-B2FB-DCC54BDE753C}">
            <xm:f>AND(IF(L35='Plan de Accion 2018'!AH142,L35&lt;&gt;"N/A"))</xm:f>
            <x14:dxf>
              <fill>
                <patternFill>
                  <bgColor rgb="FF00B050"/>
                </patternFill>
              </fill>
            </x14:dxf>
          </x14:cfRule>
          <x14:cfRule type="expression" priority="3100" stopIfTrue="1" id="{3B585B20-5F12-4895-A52B-14775EC3F589}">
            <xm:f>AND(IF(L35&lt;'Plan de Accion 2018'!AH142,L35&lt;&gt;"N/A"))</xm:f>
            <x14:dxf>
              <fill>
                <patternFill>
                  <bgColor indexed="10"/>
                </patternFill>
              </fill>
            </x14:dxf>
          </x14:cfRule>
          <xm:sqref>L35</xm:sqref>
        </x14:conditionalFormatting>
        <x14:conditionalFormatting xmlns:xm="http://schemas.microsoft.com/office/excel/2006/main">
          <x14:cfRule type="expression" priority="3020" id="{4ADAEF9A-97BE-43FD-AE29-E691B36732D3}">
            <xm:f>AND(IF(L37&gt;'Plan de Accion 2018'!AH15,L37&lt;&gt;¨N/A¨))</xm:f>
            <x14:dxf>
              <fill>
                <patternFill>
                  <bgColor theme="1" tint="0.499984740745262"/>
                </patternFill>
              </fill>
            </x14:dxf>
          </x14:cfRule>
          <x14:cfRule type="expression" priority="3021" stopIfTrue="1" id="{83211002-5080-4940-81C7-34A114938341}">
            <xm:f>AND(IF(L37='Plan de Accion 2018'!AH15,L37&lt;&gt;"N/A"))</xm:f>
            <x14:dxf>
              <fill>
                <patternFill>
                  <bgColor rgb="FF00B050"/>
                </patternFill>
              </fill>
            </x14:dxf>
          </x14:cfRule>
          <x14:cfRule type="expression" priority="3022" stopIfTrue="1" id="{F325A5CF-76AD-48A0-A2DB-2FF4BEAE7C04}">
            <xm:f>AND(IF(L37&lt;'Plan de Accion 2018'!AH15,L37&lt;&gt;"N/A"))</xm:f>
            <x14:dxf>
              <fill>
                <patternFill>
                  <bgColor indexed="10"/>
                </patternFill>
              </fill>
            </x14:dxf>
          </x14:cfRule>
          <xm:sqref>L154:L156 L37:L59</xm:sqref>
        </x14:conditionalFormatting>
        <x14:conditionalFormatting xmlns:xm="http://schemas.microsoft.com/office/excel/2006/main">
          <x14:cfRule type="expression" priority="3011" id="{56E75D71-1ABA-4F65-97A4-1E078D63727A}">
            <xm:f>AND(IF(L65&gt;'Plan de Accion 2018'!AH80,L65&lt;&gt;¨N/A¨))</xm:f>
            <x14:dxf>
              <fill>
                <patternFill>
                  <bgColor theme="1" tint="0.499984740745262"/>
                </patternFill>
              </fill>
            </x14:dxf>
          </x14:cfRule>
          <x14:cfRule type="expression" priority="3012" stopIfTrue="1" id="{5E12CC76-D9D3-4493-A3C0-1BA4F89881D7}">
            <xm:f>AND(IF(L65='Plan de Accion 2018'!AH80,L65&lt;&gt;"N/A"))</xm:f>
            <x14:dxf>
              <fill>
                <patternFill>
                  <bgColor rgb="FF00B050"/>
                </patternFill>
              </fill>
            </x14:dxf>
          </x14:cfRule>
          <x14:cfRule type="expression" priority="3013" stopIfTrue="1" id="{84F2C4BC-698E-4170-ABCF-125EFAC77CB7}">
            <xm:f>AND(IF(L65&lt;'Plan de Accion 2018'!AH80,L65&lt;&gt;"N/A"))</xm:f>
            <x14:dxf>
              <fill>
                <patternFill>
                  <bgColor indexed="10"/>
                </patternFill>
              </fill>
            </x14:dxf>
          </x14:cfRule>
          <xm:sqref>L65:L67</xm:sqref>
        </x14:conditionalFormatting>
        <x14:conditionalFormatting xmlns:xm="http://schemas.microsoft.com/office/excel/2006/main">
          <x14:cfRule type="expression" priority="3002" id="{AE2B0296-C77A-43BF-89F7-B30330388CD5}">
            <xm:f>AND(IF(L68&gt;'Plan de Accion 2018'!AH85,L68&lt;&gt;¨N/A¨))</xm:f>
            <x14:dxf>
              <fill>
                <patternFill>
                  <bgColor theme="1" tint="0.499984740745262"/>
                </patternFill>
              </fill>
            </x14:dxf>
          </x14:cfRule>
          <x14:cfRule type="expression" priority="3003" stopIfTrue="1" id="{87463D36-B1D1-45B4-997A-A051AB38B4A5}">
            <xm:f>AND(IF(L68='Plan de Accion 2018'!AH85,L68&lt;&gt;"N/A"))</xm:f>
            <x14:dxf>
              <fill>
                <patternFill>
                  <bgColor rgb="FF00B050"/>
                </patternFill>
              </fill>
            </x14:dxf>
          </x14:cfRule>
          <x14:cfRule type="expression" priority="3004" stopIfTrue="1" id="{0FCBFD68-8E44-4431-B1D0-BA0C970DD4D2}">
            <xm:f>AND(IF(L68&lt;'Plan de Accion 2018'!AH85,L68&lt;&gt;"N/A"))</xm:f>
            <x14:dxf>
              <fill>
                <patternFill>
                  <bgColor indexed="10"/>
                </patternFill>
              </fill>
            </x14:dxf>
          </x14:cfRule>
          <xm:sqref>L68:L71</xm:sqref>
        </x14:conditionalFormatting>
        <x14:conditionalFormatting xmlns:xm="http://schemas.microsoft.com/office/excel/2006/main">
          <x14:cfRule type="expression" priority="2990" id="{122827AB-C2DA-4014-A31E-79FFFD81A07C}">
            <xm:f>AND(IF(L72&gt;'Plan de Accion 2018'!AH83,L72&lt;&gt;¨N/A¨))</xm:f>
            <x14:dxf>
              <fill>
                <patternFill>
                  <bgColor theme="1" tint="0.499984740745262"/>
                </patternFill>
              </fill>
            </x14:dxf>
          </x14:cfRule>
          <x14:cfRule type="expression" priority="2991" stopIfTrue="1" id="{B103A0E4-EDA4-4573-93C4-A81B0A8488C7}">
            <xm:f>AND(IF(L72='Plan de Accion 2018'!AH83,L72&lt;&gt;"N/A"))</xm:f>
            <x14:dxf>
              <fill>
                <patternFill>
                  <bgColor rgb="FF00B050"/>
                </patternFill>
              </fill>
            </x14:dxf>
          </x14:cfRule>
          <x14:cfRule type="expression" priority="2992" stopIfTrue="1" id="{6E2246C5-588D-486D-B973-F137402F6620}">
            <xm:f>AND(IF(L72&lt;'Plan de Accion 2018'!AH83,L72&lt;&gt;"N/A"))</xm:f>
            <x14:dxf>
              <fill>
                <patternFill>
                  <bgColor indexed="10"/>
                </patternFill>
              </fill>
            </x14:dxf>
          </x14:cfRule>
          <xm:sqref>L72:L73</xm:sqref>
        </x14:conditionalFormatting>
        <x14:conditionalFormatting xmlns:xm="http://schemas.microsoft.com/office/excel/2006/main">
          <x14:cfRule type="expression" priority="2978" id="{78D0C1AC-DAF9-4A2D-8201-D62CDF668C9A}">
            <xm:f>AND(IF(L79&gt;'Plan de Accion 2018'!AH138,L79&lt;&gt;¨N/A¨))</xm:f>
            <x14:dxf>
              <fill>
                <patternFill>
                  <bgColor theme="1" tint="0.499984740745262"/>
                </patternFill>
              </fill>
            </x14:dxf>
          </x14:cfRule>
          <x14:cfRule type="expression" priority="2979" stopIfTrue="1" id="{DF5B2C3C-D659-4BDD-B160-7881856FE24B}">
            <xm:f>AND(IF(L79='Plan de Accion 2018'!AH138,L79&lt;&gt;"N/A"))</xm:f>
            <x14:dxf>
              <fill>
                <patternFill>
                  <bgColor rgb="FF00B050"/>
                </patternFill>
              </fill>
            </x14:dxf>
          </x14:cfRule>
          <x14:cfRule type="expression" priority="2980" stopIfTrue="1" id="{89D2CDD5-9DA5-4EDB-8963-AD875CAF5B49}">
            <xm:f>AND(IF(L79&lt;'Plan de Accion 2018'!AH138,L79&lt;&gt;"N/A"))</xm:f>
            <x14:dxf>
              <fill>
                <patternFill>
                  <bgColor indexed="10"/>
                </patternFill>
              </fill>
            </x14:dxf>
          </x14:cfRule>
          <xm:sqref>L79</xm:sqref>
        </x14:conditionalFormatting>
        <x14:conditionalFormatting xmlns:xm="http://schemas.microsoft.com/office/excel/2006/main">
          <x14:cfRule type="expression" priority="2975" id="{907A2460-573E-47B4-B71D-52A2C317F7E7}">
            <xm:f>AND(IF(L80&gt;'Plan de Accion 2018'!AH147,L80&lt;&gt;¨N/A¨))</xm:f>
            <x14:dxf>
              <fill>
                <patternFill>
                  <bgColor theme="1" tint="0.499984740745262"/>
                </patternFill>
              </fill>
            </x14:dxf>
          </x14:cfRule>
          <x14:cfRule type="expression" priority="2976" stopIfTrue="1" id="{FBD84BD2-917A-471F-ABFD-C688EFB61A36}">
            <xm:f>AND(IF(L80='Plan de Accion 2018'!AH147,L80&lt;&gt;"N/A"))</xm:f>
            <x14:dxf>
              <fill>
                <patternFill>
                  <bgColor rgb="FF00B050"/>
                </patternFill>
              </fill>
            </x14:dxf>
          </x14:cfRule>
          <x14:cfRule type="expression" priority="2977" stopIfTrue="1" id="{0200101A-2BD2-4D7C-B7F6-66CB84DE470C}">
            <xm:f>AND(IF(L80&lt;'Plan de Accion 2018'!AH147,L80&lt;&gt;"N/A"))</xm:f>
            <x14:dxf>
              <fill>
                <patternFill>
                  <bgColor indexed="10"/>
                </patternFill>
              </fill>
            </x14:dxf>
          </x14:cfRule>
          <xm:sqref>L80</xm:sqref>
        </x14:conditionalFormatting>
        <x14:conditionalFormatting xmlns:xm="http://schemas.microsoft.com/office/excel/2006/main">
          <x14:cfRule type="expression" priority="2972" id="{D40D2791-6E3A-4CB9-AB1F-A9D549BC1A5A}">
            <xm:f>AND(IF(L81&gt;'Plan de Accion 2018'!AH149,L81&lt;&gt;¨N/A¨))</xm:f>
            <x14:dxf>
              <fill>
                <patternFill>
                  <bgColor theme="1" tint="0.499984740745262"/>
                </patternFill>
              </fill>
            </x14:dxf>
          </x14:cfRule>
          <x14:cfRule type="expression" priority="2973" stopIfTrue="1" id="{88BC69E5-34F1-4905-9894-189C812CC190}">
            <xm:f>AND(IF(L81='Plan de Accion 2018'!AH149,L81&lt;&gt;"N/A"))</xm:f>
            <x14:dxf>
              <fill>
                <patternFill>
                  <bgColor rgb="FF00B050"/>
                </patternFill>
              </fill>
            </x14:dxf>
          </x14:cfRule>
          <x14:cfRule type="expression" priority="2974" stopIfTrue="1" id="{C7406445-98D7-4926-A18A-14741C5313E1}">
            <xm:f>AND(IF(L81&lt;'Plan de Accion 2018'!AH149,L81&lt;&gt;"N/A"))</xm:f>
            <x14:dxf>
              <fill>
                <patternFill>
                  <bgColor indexed="10"/>
                </patternFill>
              </fill>
            </x14:dxf>
          </x14:cfRule>
          <xm:sqref>L81</xm:sqref>
        </x14:conditionalFormatting>
        <x14:conditionalFormatting xmlns:xm="http://schemas.microsoft.com/office/excel/2006/main">
          <x14:cfRule type="expression" priority="2969" id="{7EF59270-B4F3-42FD-9660-0F499B9C1742}">
            <xm:f>AND(IF(L82&gt;'Plan de Accion 2018'!AH125,L82&lt;&gt;¨N/A¨))</xm:f>
            <x14:dxf>
              <fill>
                <patternFill>
                  <bgColor theme="1" tint="0.499984740745262"/>
                </patternFill>
              </fill>
            </x14:dxf>
          </x14:cfRule>
          <x14:cfRule type="expression" priority="2970" stopIfTrue="1" id="{5168D849-BCE5-484E-87DC-DB96EB8E4FA3}">
            <xm:f>AND(IF(L82='Plan de Accion 2018'!AH125,L82&lt;&gt;"N/A"))</xm:f>
            <x14:dxf>
              <fill>
                <patternFill>
                  <bgColor rgb="FF00B050"/>
                </patternFill>
              </fill>
            </x14:dxf>
          </x14:cfRule>
          <x14:cfRule type="expression" priority="2971" stopIfTrue="1" id="{A3D525FA-225B-41E8-97C5-1290E342EDEC}">
            <xm:f>AND(IF(L82&lt;'Plan de Accion 2018'!AH125,L82&lt;&gt;"N/A"))</xm:f>
            <x14:dxf>
              <fill>
                <patternFill>
                  <bgColor indexed="10"/>
                </patternFill>
              </fill>
            </x14:dxf>
          </x14:cfRule>
          <xm:sqref>L82:L83 L87</xm:sqref>
        </x14:conditionalFormatting>
        <x14:conditionalFormatting xmlns:xm="http://schemas.microsoft.com/office/excel/2006/main">
          <x14:cfRule type="expression" priority="2963" id="{94A0FC93-87AF-4F43-AAE3-571B6E3E2B8A}">
            <xm:f>AND(IF(L88&gt;'Plan de Accion 2018'!AH132,L88&lt;&gt;¨N/A¨))</xm:f>
            <x14:dxf>
              <fill>
                <patternFill>
                  <bgColor theme="1" tint="0.499984740745262"/>
                </patternFill>
              </fill>
            </x14:dxf>
          </x14:cfRule>
          <x14:cfRule type="expression" priority="2964" stopIfTrue="1" id="{9034BFF1-EB50-4CA3-B8D2-0FFB0D0938B2}">
            <xm:f>AND(IF(L88='Plan de Accion 2018'!AH132,L88&lt;&gt;"N/A"))</xm:f>
            <x14:dxf>
              <fill>
                <patternFill>
                  <bgColor rgb="FF00B050"/>
                </patternFill>
              </fill>
            </x14:dxf>
          </x14:cfRule>
          <x14:cfRule type="expression" priority="2965" stopIfTrue="1" id="{79190DA4-A6EC-453C-9B6B-77F0F59BD7E9}">
            <xm:f>AND(IF(L88&lt;'Plan de Accion 2018'!AH132,L88&lt;&gt;"N/A"))</xm:f>
            <x14:dxf>
              <fill>
                <patternFill>
                  <bgColor indexed="10"/>
                </patternFill>
              </fill>
            </x14:dxf>
          </x14:cfRule>
          <xm:sqref>L91 L88</xm:sqref>
        </x14:conditionalFormatting>
        <x14:conditionalFormatting xmlns:xm="http://schemas.microsoft.com/office/excel/2006/main">
          <x14:cfRule type="expression" priority="2957" id="{665B4EDB-2CEC-40EE-9C66-E7615C1D14CF}">
            <xm:f>AND(IF(L92&gt;'Plan de Accion 2018'!AH139,L92&lt;&gt;¨N/A¨))</xm:f>
            <x14:dxf>
              <fill>
                <patternFill>
                  <bgColor theme="1" tint="0.499984740745262"/>
                </patternFill>
              </fill>
            </x14:dxf>
          </x14:cfRule>
          <x14:cfRule type="expression" priority="2958" stopIfTrue="1" id="{29D5088B-611A-463A-9E47-2F26D952C9E3}">
            <xm:f>AND(IF(L92='Plan de Accion 2018'!AH139,L92&lt;&gt;"N/A"))</xm:f>
            <x14:dxf>
              <fill>
                <patternFill>
                  <bgColor rgb="FF00B050"/>
                </patternFill>
              </fill>
            </x14:dxf>
          </x14:cfRule>
          <x14:cfRule type="expression" priority="2959" stopIfTrue="1" id="{C3D75909-5143-4DB9-BC36-66B262AFD942}">
            <xm:f>AND(IF(L92&lt;'Plan de Accion 2018'!AH139,L92&lt;&gt;"N/A"))</xm:f>
            <x14:dxf>
              <fill>
                <patternFill>
                  <bgColor indexed="10"/>
                </patternFill>
              </fill>
            </x14:dxf>
          </x14:cfRule>
          <xm:sqref>L92</xm:sqref>
        </x14:conditionalFormatting>
        <x14:conditionalFormatting xmlns:xm="http://schemas.microsoft.com/office/excel/2006/main">
          <x14:cfRule type="expression" priority="2954" id="{CDB04BB5-8C82-4239-937D-1122E9A03B80}">
            <xm:f>AND(IF(L93&gt;'Plan de Accion 2018'!AH154,L93&lt;&gt;¨N/A¨))</xm:f>
            <x14:dxf>
              <fill>
                <patternFill>
                  <bgColor theme="1" tint="0.499984740745262"/>
                </patternFill>
              </fill>
            </x14:dxf>
          </x14:cfRule>
          <x14:cfRule type="expression" priority="2955" stopIfTrue="1" id="{DFF67972-1BFC-4961-8765-734874F3EAC1}">
            <xm:f>AND(IF(L93='Plan de Accion 2018'!AH154,L93&lt;&gt;"N/A"))</xm:f>
            <x14:dxf>
              <fill>
                <patternFill>
                  <bgColor rgb="FF00B050"/>
                </patternFill>
              </fill>
            </x14:dxf>
          </x14:cfRule>
          <x14:cfRule type="expression" priority="2956" stopIfTrue="1" id="{A1CEA115-F5AE-4A97-9AC6-836C37ECACBB}">
            <xm:f>AND(IF(L93&lt;'Plan de Accion 2018'!AH154,L93&lt;&gt;"N/A"))</xm:f>
            <x14:dxf>
              <fill>
                <patternFill>
                  <bgColor indexed="10"/>
                </patternFill>
              </fill>
            </x14:dxf>
          </x14:cfRule>
          <xm:sqref>L93</xm:sqref>
        </x14:conditionalFormatting>
        <x14:conditionalFormatting xmlns:xm="http://schemas.microsoft.com/office/excel/2006/main">
          <x14:cfRule type="expression" priority="2951" id="{FBB5C317-AB1E-4F43-B1F8-A7B4682AD7BF}">
            <xm:f>AND(IF(L60&gt;'Plan de Accion 2018'!AH40,L60&lt;&gt;¨N/A¨))</xm:f>
            <x14:dxf>
              <fill>
                <patternFill>
                  <bgColor theme="1" tint="0.499984740745262"/>
                </patternFill>
              </fill>
            </x14:dxf>
          </x14:cfRule>
          <x14:cfRule type="expression" priority="2952" stopIfTrue="1" id="{129F5EAC-2681-4D74-B97C-0363A873E61D}">
            <xm:f>AND(IF(L60='Plan de Accion 2018'!AH40,L60&lt;&gt;"N/A"))</xm:f>
            <x14:dxf>
              <fill>
                <patternFill>
                  <bgColor rgb="FF00B050"/>
                </patternFill>
              </fill>
            </x14:dxf>
          </x14:cfRule>
          <x14:cfRule type="expression" priority="2953" stopIfTrue="1" id="{E9742D4D-0A11-4AB6-9D1B-30530E79BB86}">
            <xm:f>AND(IF(L60&lt;'Plan de Accion 2018'!AH40,L60&lt;&gt;"N/A"))</xm:f>
            <x14:dxf>
              <fill>
                <patternFill>
                  <bgColor indexed="10"/>
                </patternFill>
              </fill>
            </x14:dxf>
          </x14:cfRule>
          <xm:sqref>L157 L60:L62</xm:sqref>
        </x14:conditionalFormatting>
        <x14:conditionalFormatting xmlns:xm="http://schemas.microsoft.com/office/excel/2006/main">
          <x14:cfRule type="expression" priority="2948" id="{D98485B0-A829-4DD7-85D9-8DA6D7CCC5BA}">
            <xm:f>AND(IF(L169&gt;'Plan de Accion 2018'!AH122,L169&lt;&gt;¨N/A¨))</xm:f>
            <x14:dxf>
              <fill>
                <patternFill>
                  <bgColor theme="1" tint="0.499984740745262"/>
                </patternFill>
              </fill>
            </x14:dxf>
          </x14:cfRule>
          <x14:cfRule type="expression" priority="2949" stopIfTrue="1" id="{9307B8D1-B8E1-4DBB-B56C-2F037F4C94A1}">
            <xm:f>AND(IF(L169='Plan de Accion 2018'!AH122,L169&lt;&gt;"N/A"))</xm:f>
            <x14:dxf>
              <fill>
                <patternFill>
                  <bgColor rgb="FF00B050"/>
                </patternFill>
              </fill>
            </x14:dxf>
          </x14:cfRule>
          <x14:cfRule type="expression" priority="2950" stopIfTrue="1" id="{7B74C219-9C67-4EB3-AE05-4E03690C1723}">
            <xm:f>AND(IF(L169&lt;'Plan de Accion 2018'!AH122,L169&lt;&gt;"N/A"))</xm:f>
            <x14:dxf>
              <fill>
                <patternFill>
                  <bgColor indexed="10"/>
                </patternFill>
              </fill>
            </x14:dxf>
          </x14:cfRule>
          <xm:sqref>L169</xm:sqref>
        </x14:conditionalFormatting>
        <x14:conditionalFormatting xmlns:xm="http://schemas.microsoft.com/office/excel/2006/main">
          <x14:cfRule type="expression" priority="2945" id="{1506753E-0D88-48A0-8094-602CB52C1104}">
            <xm:f>AND(IF(L98&gt;'Plan de Accion 2018'!AH53,L98&lt;&gt;¨N/A¨))</xm:f>
            <x14:dxf>
              <fill>
                <patternFill>
                  <bgColor theme="1" tint="0.499984740745262"/>
                </patternFill>
              </fill>
            </x14:dxf>
          </x14:cfRule>
          <x14:cfRule type="expression" priority="2946" stopIfTrue="1" id="{D36463E3-0050-4A80-A44D-4F41A5C83B4C}">
            <xm:f>AND(IF(L98='Plan de Accion 2018'!AH53,L98&lt;&gt;"N/A"))</xm:f>
            <x14:dxf>
              <fill>
                <patternFill>
                  <bgColor rgb="FF00B050"/>
                </patternFill>
              </fill>
            </x14:dxf>
          </x14:cfRule>
          <x14:cfRule type="expression" priority="2947" stopIfTrue="1" id="{708D4647-EC86-4804-A4F9-8911AD6BBC21}">
            <xm:f>AND(IF(L98&lt;'Plan de Accion 2018'!AH53,L98&lt;&gt;"N/A"))</xm:f>
            <x14:dxf>
              <fill>
                <patternFill>
                  <bgColor indexed="10"/>
                </patternFill>
              </fill>
            </x14:dxf>
          </x14:cfRule>
          <xm:sqref>L98</xm:sqref>
        </x14:conditionalFormatting>
        <x14:conditionalFormatting xmlns:xm="http://schemas.microsoft.com/office/excel/2006/main">
          <x14:cfRule type="expression" priority="2939" id="{6FE6F1DC-5B60-4FFC-A32B-4AC03BB0B437}">
            <xm:f>AND(IF(L99&gt;'Plan de Accion 2018'!AH63,L99&lt;&gt;¨N/A¨))</xm:f>
            <x14:dxf>
              <fill>
                <patternFill>
                  <bgColor theme="1" tint="0.499984740745262"/>
                </patternFill>
              </fill>
            </x14:dxf>
          </x14:cfRule>
          <x14:cfRule type="expression" priority="2940" stopIfTrue="1" id="{5EF8E481-CD7A-448E-806A-B5EC9462C4C4}">
            <xm:f>AND(IF(L99='Plan de Accion 2018'!AH63,L99&lt;&gt;"N/A"))</xm:f>
            <x14:dxf>
              <fill>
                <patternFill>
                  <bgColor rgb="FF00B050"/>
                </patternFill>
              </fill>
            </x14:dxf>
          </x14:cfRule>
          <x14:cfRule type="expression" priority="2941" stopIfTrue="1" id="{20FD009A-300D-4A6E-A765-364B863A31E9}">
            <xm:f>AND(IF(L99&lt;'Plan de Accion 2018'!AH63,L99&lt;&gt;"N/A"))</xm:f>
            <x14:dxf>
              <fill>
                <patternFill>
                  <bgColor indexed="10"/>
                </patternFill>
              </fill>
            </x14:dxf>
          </x14:cfRule>
          <xm:sqref>L99:L100</xm:sqref>
        </x14:conditionalFormatting>
        <x14:conditionalFormatting xmlns:xm="http://schemas.microsoft.com/office/excel/2006/main">
          <x14:cfRule type="expression" priority="2936" id="{B5A1B21A-B787-497F-AFE1-FED868169529}">
            <xm:f>AND(IF(L170&gt;'Plan de Accion 2018'!AH140,L170&lt;&gt;¨N/A¨))</xm:f>
            <x14:dxf>
              <fill>
                <patternFill>
                  <bgColor theme="1" tint="0.499984740745262"/>
                </patternFill>
              </fill>
            </x14:dxf>
          </x14:cfRule>
          <x14:cfRule type="expression" priority="2937" stopIfTrue="1" id="{913F8EE4-3DA5-481D-BB11-137C5BACE52D}">
            <xm:f>AND(IF(L170='Plan de Accion 2018'!AH140,L170&lt;&gt;"N/A"))</xm:f>
            <x14:dxf>
              <fill>
                <patternFill>
                  <bgColor rgb="FF00B050"/>
                </patternFill>
              </fill>
            </x14:dxf>
          </x14:cfRule>
          <x14:cfRule type="expression" priority="2938" stopIfTrue="1" id="{EABC29BF-EB97-4E9E-A18B-8C16E74C923D}">
            <xm:f>AND(IF(L170&lt;'Plan de Accion 2018'!AH140,L170&lt;&gt;"N/A"))</xm:f>
            <x14:dxf>
              <fill>
                <patternFill>
                  <bgColor indexed="10"/>
                </patternFill>
              </fill>
            </x14:dxf>
          </x14:cfRule>
          <xm:sqref>L170</xm:sqref>
        </x14:conditionalFormatting>
        <x14:conditionalFormatting xmlns:xm="http://schemas.microsoft.com/office/excel/2006/main">
          <x14:cfRule type="expression" priority="2927" id="{933D93D4-D7AA-4AB7-82C5-474E7F55092F}">
            <xm:f>AND(IF(L105&gt;'Plan de Accion 2018'!AH95,L105&lt;&gt;¨N/A¨))</xm:f>
            <x14:dxf>
              <fill>
                <patternFill>
                  <bgColor theme="1" tint="0.499984740745262"/>
                </patternFill>
              </fill>
            </x14:dxf>
          </x14:cfRule>
          <x14:cfRule type="expression" priority="2928" stopIfTrue="1" id="{1BC975CC-9DC9-4F0D-965D-2A16DAF82096}">
            <xm:f>AND(IF(L105='Plan de Accion 2018'!AH95,L105&lt;&gt;"N/A"))</xm:f>
            <x14:dxf>
              <fill>
                <patternFill>
                  <bgColor rgb="FF00B050"/>
                </patternFill>
              </fill>
            </x14:dxf>
          </x14:cfRule>
          <x14:cfRule type="expression" priority="2929" stopIfTrue="1" id="{B1196131-3378-483C-830C-21B325BD094B}">
            <xm:f>AND(IF(L105&lt;'Plan de Accion 2018'!AH95,L105&lt;&gt;"N/A"))</xm:f>
            <x14:dxf>
              <fill>
                <patternFill>
                  <bgColor indexed="10"/>
                </patternFill>
              </fill>
            </x14:dxf>
          </x14:cfRule>
          <xm:sqref>L105:L109</xm:sqref>
        </x14:conditionalFormatting>
        <x14:conditionalFormatting xmlns:xm="http://schemas.microsoft.com/office/excel/2006/main">
          <x14:cfRule type="expression" priority="2915" id="{D81A256F-07D6-41D6-A6CF-2DB403C83800}">
            <xm:f>AND(IF(L110&gt;'Plan de Accion 2018'!AH107,L110&lt;&gt;¨N/A¨))</xm:f>
            <x14:dxf>
              <fill>
                <patternFill>
                  <bgColor theme="1" tint="0.499984740745262"/>
                </patternFill>
              </fill>
            </x14:dxf>
          </x14:cfRule>
          <x14:cfRule type="expression" priority="2916" stopIfTrue="1" id="{EC937E20-DBB1-4CBB-9A30-076465B8F453}">
            <xm:f>AND(IF(L110='Plan de Accion 2018'!AH107,L110&lt;&gt;"N/A"))</xm:f>
            <x14:dxf>
              <fill>
                <patternFill>
                  <bgColor rgb="FF00B050"/>
                </patternFill>
              </fill>
            </x14:dxf>
          </x14:cfRule>
          <x14:cfRule type="expression" priority="2917" stopIfTrue="1" id="{629F9F1D-47FA-4D81-9B89-4F91DE976D06}">
            <xm:f>AND(IF(L110&lt;'Plan de Accion 2018'!AH107,L110&lt;&gt;"N/A"))</xm:f>
            <x14:dxf>
              <fill>
                <patternFill>
                  <bgColor indexed="10"/>
                </patternFill>
              </fill>
            </x14:dxf>
          </x14:cfRule>
          <xm:sqref>L110</xm:sqref>
        </x14:conditionalFormatting>
        <x14:conditionalFormatting xmlns:xm="http://schemas.microsoft.com/office/excel/2006/main">
          <x14:cfRule type="expression" priority="2912" id="{D137B5C2-4ECF-41D8-A16D-B31FCA518E09}">
            <xm:f>AND(IF(L111&gt;'Plan de Accion 2018'!AH111,L111&lt;&gt;¨N/A¨))</xm:f>
            <x14:dxf>
              <fill>
                <patternFill>
                  <bgColor theme="1" tint="0.499984740745262"/>
                </patternFill>
              </fill>
            </x14:dxf>
          </x14:cfRule>
          <x14:cfRule type="expression" priority="2913" stopIfTrue="1" id="{AE3FE832-AD21-4C05-BE16-8B22CE1BD8F7}">
            <xm:f>AND(IF(L111='Plan de Accion 2018'!AH111,L111&lt;&gt;"N/A"))</xm:f>
            <x14:dxf>
              <fill>
                <patternFill>
                  <bgColor rgb="FF00B050"/>
                </patternFill>
              </fill>
            </x14:dxf>
          </x14:cfRule>
          <x14:cfRule type="expression" priority="2914" stopIfTrue="1" id="{108C4FC2-EFFD-4009-8090-B9794804466F}">
            <xm:f>AND(IF(L111&lt;'Plan de Accion 2018'!AH111,L111&lt;&gt;"N/A"))</xm:f>
            <x14:dxf>
              <fill>
                <patternFill>
                  <bgColor indexed="10"/>
                </patternFill>
              </fill>
            </x14:dxf>
          </x14:cfRule>
          <xm:sqref>L111</xm:sqref>
        </x14:conditionalFormatting>
        <x14:conditionalFormatting xmlns:xm="http://schemas.microsoft.com/office/excel/2006/main">
          <x14:cfRule type="expression" priority="2909" id="{BFD469F7-0A1A-4274-8A68-F7F2BB789863}">
            <xm:f>AND(IF(L179&gt;'Plan de Accion 2018'!AH77,L179&lt;&gt;¨N/A¨))</xm:f>
            <x14:dxf>
              <fill>
                <patternFill>
                  <bgColor theme="1" tint="0.499984740745262"/>
                </patternFill>
              </fill>
            </x14:dxf>
          </x14:cfRule>
          <x14:cfRule type="expression" priority="2910" stopIfTrue="1" id="{27FEA089-7B80-48AC-B3DE-7B6EA4C1C3F9}">
            <xm:f>AND(IF(L179='Plan de Accion 2018'!AH77,L179&lt;&gt;"N/A"))</xm:f>
            <x14:dxf>
              <fill>
                <patternFill>
                  <bgColor rgb="FF00B050"/>
                </patternFill>
              </fill>
            </x14:dxf>
          </x14:cfRule>
          <x14:cfRule type="expression" priority="2911" stopIfTrue="1" id="{EE7586B8-52AB-4CA1-8884-4C2164FBC7C9}">
            <xm:f>AND(IF(L179&lt;'Plan de Accion 2018'!AH77,L179&lt;&gt;"N/A"))</xm:f>
            <x14:dxf>
              <fill>
                <patternFill>
                  <bgColor indexed="10"/>
                </patternFill>
              </fill>
            </x14:dxf>
          </x14:cfRule>
          <xm:sqref>L179:L180</xm:sqref>
        </x14:conditionalFormatting>
        <x14:conditionalFormatting xmlns:xm="http://schemas.microsoft.com/office/excel/2006/main">
          <x14:cfRule type="expression" priority="2900" id="{E4499E52-20A3-4463-889E-0688E2754676}">
            <xm:f>AND(IF(L114&gt;'Plan de Accion 2018'!AH119,L114&lt;&gt;¨N/A¨))</xm:f>
            <x14:dxf>
              <fill>
                <patternFill>
                  <bgColor theme="1" tint="0.499984740745262"/>
                </patternFill>
              </fill>
            </x14:dxf>
          </x14:cfRule>
          <x14:cfRule type="expression" priority="2901" stopIfTrue="1" id="{0D5A4AAE-5860-4B7A-9558-56E2DD5465EF}">
            <xm:f>AND(IF(L114='Plan de Accion 2018'!AH119,L114&lt;&gt;"N/A"))</xm:f>
            <x14:dxf>
              <fill>
                <patternFill>
                  <bgColor rgb="FF00B050"/>
                </patternFill>
              </fill>
            </x14:dxf>
          </x14:cfRule>
          <x14:cfRule type="expression" priority="2902" stopIfTrue="1" id="{170322DD-7147-413D-9027-9CFC0FF7AF9D}">
            <xm:f>AND(IF(L114&lt;'Plan de Accion 2018'!AH119,L114&lt;&gt;"N/A"))</xm:f>
            <x14:dxf>
              <fill>
                <patternFill>
                  <bgColor indexed="10"/>
                </patternFill>
              </fill>
            </x14:dxf>
          </x14:cfRule>
          <xm:sqref>L114</xm:sqref>
        </x14:conditionalFormatting>
        <x14:conditionalFormatting xmlns:xm="http://schemas.microsoft.com/office/excel/2006/main">
          <x14:cfRule type="expression" priority="2897" id="{C536BEEA-19B2-4A8E-A18F-A5DDE57C703F}">
            <xm:f>AND(IF(L115&gt;'Plan de Accion 2018'!AH141,L115&lt;&gt;¨N/A¨))</xm:f>
            <x14:dxf>
              <fill>
                <patternFill>
                  <bgColor theme="1" tint="0.499984740745262"/>
                </patternFill>
              </fill>
            </x14:dxf>
          </x14:cfRule>
          <x14:cfRule type="expression" priority="2898" stopIfTrue="1" id="{2AFFC7E7-BA6C-494C-86B9-52A021E85894}">
            <xm:f>AND(IF(L115='Plan de Accion 2018'!AH141,L115&lt;&gt;"N/A"))</xm:f>
            <x14:dxf>
              <fill>
                <patternFill>
                  <bgColor rgb="FF00B050"/>
                </patternFill>
              </fill>
            </x14:dxf>
          </x14:cfRule>
          <x14:cfRule type="expression" priority="2899" stopIfTrue="1" id="{1FA8627A-8BB5-4718-A387-53F27246E0B6}">
            <xm:f>AND(IF(L115&lt;'Plan de Accion 2018'!AH141,L115&lt;&gt;"N/A"))</xm:f>
            <x14:dxf>
              <fill>
                <patternFill>
                  <bgColor indexed="10"/>
                </patternFill>
              </fill>
            </x14:dxf>
          </x14:cfRule>
          <xm:sqref>L115</xm:sqref>
        </x14:conditionalFormatting>
        <x14:conditionalFormatting xmlns:xm="http://schemas.microsoft.com/office/excel/2006/main">
          <x14:cfRule type="expression" priority="2894" id="{E0D3DDAF-85D0-421A-ADCB-2F5CB48558A4}">
            <xm:f>AND(IF(L116&gt;'Plan de Accion 2018'!AH143,L116&lt;&gt;¨N/A¨))</xm:f>
            <x14:dxf>
              <fill>
                <patternFill>
                  <bgColor theme="1" tint="0.499984740745262"/>
                </patternFill>
              </fill>
            </x14:dxf>
          </x14:cfRule>
          <x14:cfRule type="expression" priority="2895" stopIfTrue="1" id="{5584E8C4-FD3F-4714-ADE2-16976ADC6838}">
            <xm:f>AND(IF(L116='Plan de Accion 2018'!AH143,L116&lt;&gt;"N/A"))</xm:f>
            <x14:dxf>
              <fill>
                <patternFill>
                  <bgColor rgb="FF00B050"/>
                </patternFill>
              </fill>
            </x14:dxf>
          </x14:cfRule>
          <x14:cfRule type="expression" priority="2896" stopIfTrue="1" id="{18ECD560-4079-4A92-9754-918253889A55}">
            <xm:f>AND(IF(L116&lt;'Plan de Accion 2018'!AH143,L116&lt;&gt;"N/A"))</xm:f>
            <x14:dxf>
              <fill>
                <patternFill>
                  <bgColor indexed="10"/>
                </patternFill>
              </fill>
            </x14:dxf>
          </x14:cfRule>
          <xm:sqref>L116</xm:sqref>
        </x14:conditionalFormatting>
        <x14:conditionalFormatting xmlns:xm="http://schemas.microsoft.com/office/excel/2006/main">
          <x14:cfRule type="expression" priority="2885" id="{7E161275-247C-4DB8-BD6A-E08C157FD714}">
            <xm:f>AND(IF(L192&gt;'Plan de Accion 2018'!AH120,L192&lt;&gt;¨N/A¨))</xm:f>
            <x14:dxf>
              <fill>
                <patternFill>
                  <bgColor theme="1" tint="0.499984740745262"/>
                </patternFill>
              </fill>
            </x14:dxf>
          </x14:cfRule>
          <x14:cfRule type="expression" priority="2886" stopIfTrue="1" id="{6A7F13AD-306E-4D00-A2CC-AA0F8C12D183}">
            <xm:f>AND(IF(L192='Plan de Accion 2018'!AH120,L192&lt;&gt;"N/A"))</xm:f>
            <x14:dxf>
              <fill>
                <patternFill>
                  <bgColor rgb="FF00B050"/>
                </patternFill>
              </fill>
            </x14:dxf>
          </x14:cfRule>
          <x14:cfRule type="expression" priority="2887" stopIfTrue="1" id="{4B452FC1-90BB-4624-A6F2-FE094EB34D6B}">
            <xm:f>AND(IF(L192&lt;'Plan de Accion 2018'!AH120,L192&lt;&gt;"N/A"))</xm:f>
            <x14:dxf>
              <fill>
                <patternFill>
                  <bgColor indexed="10"/>
                </patternFill>
              </fill>
            </x14:dxf>
          </x14:cfRule>
          <xm:sqref>L207:L208 L192</xm:sqref>
        </x14:conditionalFormatting>
        <x14:conditionalFormatting xmlns:xm="http://schemas.microsoft.com/office/excel/2006/main">
          <x14:cfRule type="expression" priority="2843" id="{59496D44-2319-4BE0-AA11-B9E01CE5C92E}">
            <xm:f>AND(IF(L133&gt;'Plan de Accion 2018'!AH67,L133&lt;&gt;¨N/A¨))</xm:f>
            <x14:dxf>
              <fill>
                <patternFill>
                  <bgColor theme="1" tint="0.499984740745262"/>
                </patternFill>
              </fill>
            </x14:dxf>
          </x14:cfRule>
          <x14:cfRule type="expression" priority="2844" stopIfTrue="1" id="{CF943AAA-2676-416F-B32A-FC1981DD38E1}">
            <xm:f>AND(IF(L133='Plan de Accion 2018'!AH67,L133&lt;&gt;"N/A"))</xm:f>
            <x14:dxf>
              <fill>
                <patternFill>
                  <bgColor rgb="FF00B050"/>
                </patternFill>
              </fill>
            </x14:dxf>
          </x14:cfRule>
          <x14:cfRule type="expression" priority="2845" stopIfTrue="1" id="{E8A9828D-449E-44DE-896A-722E53D31DBA}">
            <xm:f>AND(IF(L133&lt;'Plan de Accion 2018'!AH67,L133&lt;&gt;"N/A"))</xm:f>
            <x14:dxf>
              <fill>
                <patternFill>
                  <bgColor indexed="10"/>
                </patternFill>
              </fill>
            </x14:dxf>
          </x14:cfRule>
          <xm:sqref>L133:L136</xm:sqref>
        </x14:conditionalFormatting>
        <x14:conditionalFormatting xmlns:xm="http://schemas.microsoft.com/office/excel/2006/main">
          <x14:cfRule type="expression" priority="2837" id="{0D5E9AE7-4BF4-4895-B6F5-E36E4EBF6CD8}">
            <xm:f>AND(IF(L137&gt;'Plan de Accion 2018'!AH72,L137&lt;&gt;¨N/A¨))</xm:f>
            <x14:dxf>
              <fill>
                <patternFill>
                  <bgColor theme="1" tint="0.499984740745262"/>
                </patternFill>
              </fill>
            </x14:dxf>
          </x14:cfRule>
          <x14:cfRule type="expression" priority="2838" stopIfTrue="1" id="{02B2DB94-55DA-48BE-8394-32506226B26E}">
            <xm:f>AND(IF(L137='Plan de Accion 2018'!AH72,L137&lt;&gt;"N/A"))</xm:f>
            <x14:dxf>
              <fill>
                <patternFill>
                  <bgColor rgb="FF00B050"/>
                </patternFill>
              </fill>
            </x14:dxf>
          </x14:cfRule>
          <x14:cfRule type="expression" priority="2839" stopIfTrue="1" id="{62ECDF26-C3D0-4A4D-A623-10BF6469D388}">
            <xm:f>AND(IF(L137&lt;'Plan de Accion 2018'!AH72,L137&lt;&gt;"N/A"))</xm:f>
            <x14:dxf>
              <fill>
                <patternFill>
                  <bgColor indexed="10"/>
                </patternFill>
              </fill>
            </x14:dxf>
          </x14:cfRule>
          <xm:sqref>L137</xm:sqref>
        </x14:conditionalFormatting>
        <x14:conditionalFormatting xmlns:xm="http://schemas.microsoft.com/office/excel/2006/main">
          <x14:cfRule type="expression" priority="2795" id="{93CAA629-261F-436D-9452-A4B7DFBE4F70}">
            <xm:f>AND(IF(L138&gt;'Plan de Accion 2018'!AH74,L138&lt;&gt;¨N/A¨))</xm:f>
            <x14:dxf>
              <fill>
                <patternFill>
                  <bgColor theme="1" tint="0.499984740745262"/>
                </patternFill>
              </fill>
            </x14:dxf>
          </x14:cfRule>
          <x14:cfRule type="expression" priority="2796" stopIfTrue="1" id="{4D26CA90-CE51-432F-8EDB-F0EB41AEC716}">
            <xm:f>AND(IF(L138='Plan de Accion 2018'!AH74,L138&lt;&gt;"N/A"))</xm:f>
            <x14:dxf>
              <fill>
                <patternFill>
                  <bgColor rgb="FF00B050"/>
                </patternFill>
              </fill>
            </x14:dxf>
          </x14:cfRule>
          <x14:cfRule type="expression" priority="2797" stopIfTrue="1" id="{1C81B4BC-0687-4619-AA36-5E89B581629D}">
            <xm:f>AND(IF(L138&lt;'Plan de Accion 2018'!AH74,L138&lt;&gt;"N/A"))</xm:f>
            <x14:dxf>
              <fill>
                <patternFill>
                  <bgColor indexed="10"/>
                </patternFill>
              </fill>
            </x14:dxf>
          </x14:cfRule>
          <xm:sqref>L138:L139</xm:sqref>
        </x14:conditionalFormatting>
        <x14:conditionalFormatting xmlns:xm="http://schemas.microsoft.com/office/excel/2006/main">
          <x14:cfRule type="expression" priority="2789" id="{EA2CF226-8BB0-4EA1-AEB7-C88F9E82F2B2}">
            <xm:f>AND(IF(L141&gt;'Plan de Accion 2018'!AH36,L141&lt;&gt;¨N/A¨))</xm:f>
            <x14:dxf>
              <fill>
                <patternFill>
                  <bgColor theme="1" tint="0.499984740745262"/>
                </patternFill>
              </fill>
            </x14:dxf>
          </x14:cfRule>
          <x14:cfRule type="expression" priority="2790" stopIfTrue="1" id="{AF34FBC9-67DF-46C9-96B3-FFBD98EE8501}">
            <xm:f>AND(IF(L141='Plan de Accion 2018'!AH36,L141&lt;&gt;"N/A"))</xm:f>
            <x14:dxf>
              <fill>
                <patternFill>
                  <bgColor rgb="FF00B050"/>
                </patternFill>
              </fill>
            </x14:dxf>
          </x14:cfRule>
          <x14:cfRule type="expression" priority="2791" stopIfTrue="1" id="{7FFF8608-A6B0-4AD7-986E-9AF373EFABDD}">
            <xm:f>AND(IF(L141&lt;'Plan de Accion 2018'!AH36,L141&lt;&gt;"N/A"))</xm:f>
            <x14:dxf>
              <fill>
                <patternFill>
                  <bgColor indexed="10"/>
                </patternFill>
              </fill>
            </x14:dxf>
          </x14:cfRule>
          <xm:sqref>L141:L148</xm:sqref>
        </x14:conditionalFormatting>
        <x14:conditionalFormatting xmlns:xm="http://schemas.microsoft.com/office/excel/2006/main">
          <x14:cfRule type="expression" priority="2741" id="{D06420E3-CF30-4DD2-8280-E6FBC9305FCD}">
            <xm:f>AND(IF(L158&gt;'Plan de Accion 2018'!AH139,L158&lt;&gt;¨N/A¨))</xm:f>
            <x14:dxf>
              <fill>
                <patternFill>
                  <bgColor theme="1" tint="0.499984740745262"/>
                </patternFill>
              </fill>
            </x14:dxf>
          </x14:cfRule>
          <x14:cfRule type="expression" priority="2742" stopIfTrue="1" id="{E9A6D6B5-AAA3-43C6-9844-572A7B925557}">
            <xm:f>AND(IF(L158='Plan de Accion 2018'!AH139,L158&lt;&gt;"N/A"))</xm:f>
            <x14:dxf>
              <fill>
                <patternFill>
                  <bgColor rgb="FF00B050"/>
                </patternFill>
              </fill>
            </x14:dxf>
          </x14:cfRule>
          <x14:cfRule type="expression" priority="2743" stopIfTrue="1" id="{524635D6-4978-4420-B178-33C242E99282}">
            <xm:f>AND(IF(L158&lt;'Plan de Accion 2018'!AH139,L158&lt;&gt;"N/A"))</xm:f>
            <x14:dxf>
              <fill>
                <patternFill>
                  <bgColor indexed="10"/>
                </patternFill>
              </fill>
            </x14:dxf>
          </x14:cfRule>
          <xm:sqref>L158</xm:sqref>
        </x14:conditionalFormatting>
        <x14:conditionalFormatting xmlns:xm="http://schemas.microsoft.com/office/excel/2006/main">
          <x14:cfRule type="expression" priority="2738" id="{37341CEB-788A-42E9-B0A6-840E87374D72}">
            <xm:f>AND(IF(L159&gt;'Plan de Accion 2018'!AH146,L159&lt;&gt;¨N/A¨))</xm:f>
            <x14:dxf>
              <fill>
                <patternFill>
                  <bgColor theme="1" tint="0.499984740745262"/>
                </patternFill>
              </fill>
            </x14:dxf>
          </x14:cfRule>
          <x14:cfRule type="expression" priority="2739" stopIfTrue="1" id="{53F7CBE0-D564-4055-92EE-0E4404225001}">
            <xm:f>AND(IF(L159='Plan de Accion 2018'!AH146,L159&lt;&gt;"N/A"))</xm:f>
            <x14:dxf>
              <fill>
                <patternFill>
                  <bgColor rgb="FF00B050"/>
                </patternFill>
              </fill>
            </x14:dxf>
          </x14:cfRule>
          <x14:cfRule type="expression" priority="2740" stopIfTrue="1" id="{15524A94-0D43-433A-B1DF-22CF36BB057E}">
            <xm:f>AND(IF(L159&lt;'Plan de Accion 2018'!AH146,L159&lt;&gt;"N/A"))</xm:f>
            <x14:dxf>
              <fill>
                <patternFill>
                  <bgColor indexed="10"/>
                </patternFill>
              </fill>
            </x14:dxf>
          </x14:cfRule>
          <xm:sqref>L159</xm:sqref>
        </x14:conditionalFormatting>
        <x14:conditionalFormatting xmlns:xm="http://schemas.microsoft.com/office/excel/2006/main">
          <x14:cfRule type="expression" priority="2735" id="{68447B59-877A-404D-B0AE-6151A52F064E}">
            <xm:f>AND(IF(L160&gt;'Plan de Accion 2018'!AH148,L160&lt;&gt;¨N/A¨))</xm:f>
            <x14:dxf>
              <fill>
                <patternFill>
                  <bgColor theme="1" tint="0.499984740745262"/>
                </patternFill>
              </fill>
            </x14:dxf>
          </x14:cfRule>
          <x14:cfRule type="expression" priority="2736" stopIfTrue="1" id="{86D1D90E-1DA7-4627-AF54-12442DEC13E0}">
            <xm:f>AND(IF(L160='Plan de Accion 2018'!AH148,L160&lt;&gt;"N/A"))</xm:f>
            <x14:dxf>
              <fill>
                <patternFill>
                  <bgColor rgb="FF00B050"/>
                </patternFill>
              </fill>
            </x14:dxf>
          </x14:cfRule>
          <x14:cfRule type="expression" priority="2737" stopIfTrue="1" id="{A80BE1DC-0B93-4799-B9BC-F5F13F898DEA}">
            <xm:f>AND(IF(L160&lt;'Plan de Accion 2018'!AH148,L160&lt;&gt;"N/A"))</xm:f>
            <x14:dxf>
              <fill>
                <patternFill>
                  <bgColor indexed="10"/>
                </patternFill>
              </fill>
            </x14:dxf>
          </x14:cfRule>
          <xm:sqref>L160</xm:sqref>
        </x14:conditionalFormatting>
        <x14:conditionalFormatting xmlns:xm="http://schemas.microsoft.com/office/excel/2006/main">
          <x14:cfRule type="expression" priority="2732" id="{71977E91-EBCF-4C91-A420-41DC9BC95AE5}">
            <xm:f>AND(IF(L162&gt;'Plan de Accion 2018'!AH8,L162&lt;&gt;¨N/A¨))</xm:f>
            <x14:dxf>
              <fill>
                <patternFill>
                  <bgColor theme="1" tint="0.499984740745262"/>
                </patternFill>
              </fill>
            </x14:dxf>
          </x14:cfRule>
          <x14:cfRule type="expression" priority="2733" stopIfTrue="1" id="{C9FC0BD4-218A-4020-B54C-E760DA750CB4}">
            <xm:f>AND(IF(L162='Plan de Accion 2018'!AH8,L162&lt;&gt;"N/A"))</xm:f>
            <x14:dxf>
              <fill>
                <patternFill>
                  <bgColor rgb="FF00B050"/>
                </patternFill>
              </fill>
            </x14:dxf>
          </x14:cfRule>
          <x14:cfRule type="expression" priority="2734" stopIfTrue="1" id="{058C1441-FF5D-4E80-AEED-14B523BB0858}">
            <xm:f>AND(IF(L162&lt;'Plan de Accion 2018'!AH8,L162&lt;&gt;"N/A"))</xm:f>
            <x14:dxf>
              <fill>
                <patternFill>
                  <bgColor indexed="10"/>
                </patternFill>
              </fill>
            </x14:dxf>
          </x14:cfRule>
          <xm:sqref>L162</xm:sqref>
        </x14:conditionalFormatting>
        <x14:conditionalFormatting xmlns:xm="http://schemas.microsoft.com/office/excel/2006/main">
          <x14:cfRule type="expression" priority="2729" id="{89EA23BE-FD2A-41A8-AF5E-69BE017843CC}">
            <xm:f>AND(IF(L163&gt;'Plan de Accion 2018'!AH12,L163&lt;&gt;¨N/A¨))</xm:f>
            <x14:dxf>
              <fill>
                <patternFill>
                  <bgColor theme="1" tint="0.499984740745262"/>
                </patternFill>
              </fill>
            </x14:dxf>
          </x14:cfRule>
          <x14:cfRule type="expression" priority="2730" stopIfTrue="1" id="{833C63BF-2408-456E-8B71-059C999DE504}">
            <xm:f>AND(IF(L163='Plan de Accion 2018'!AH12,L163&lt;&gt;"N/A"))</xm:f>
            <x14:dxf>
              <fill>
                <patternFill>
                  <bgColor rgb="FF00B050"/>
                </patternFill>
              </fill>
            </x14:dxf>
          </x14:cfRule>
          <x14:cfRule type="expression" priority="2731" stopIfTrue="1" id="{CD0A57C8-6C99-467A-A84A-0691C2E348E7}">
            <xm:f>AND(IF(L163&lt;'Plan de Accion 2018'!AH12,L163&lt;&gt;"N/A"))</xm:f>
            <x14:dxf>
              <fill>
                <patternFill>
                  <bgColor indexed="10"/>
                </patternFill>
              </fill>
            </x14:dxf>
          </x14:cfRule>
          <xm:sqref>L163</xm:sqref>
        </x14:conditionalFormatting>
        <x14:conditionalFormatting xmlns:xm="http://schemas.microsoft.com/office/excel/2006/main">
          <x14:cfRule type="expression" priority="2726" id="{4B18CF23-D3C9-47F9-9221-8EF09B2AEC88}">
            <xm:f>AND(IF(L164&gt;'Plan de Accion 2018'!AH45,L164&lt;&gt;¨N/A¨))</xm:f>
            <x14:dxf>
              <fill>
                <patternFill>
                  <bgColor theme="1" tint="0.499984740745262"/>
                </patternFill>
              </fill>
            </x14:dxf>
          </x14:cfRule>
          <x14:cfRule type="expression" priority="2727" stopIfTrue="1" id="{A6FFD223-9227-41E5-B1C3-BB1447044B0C}">
            <xm:f>AND(IF(L164='Plan de Accion 2018'!AH45,L164&lt;&gt;"N/A"))</xm:f>
            <x14:dxf>
              <fill>
                <patternFill>
                  <bgColor rgb="FF00B050"/>
                </patternFill>
              </fill>
            </x14:dxf>
          </x14:cfRule>
          <x14:cfRule type="expression" priority="2728" stopIfTrue="1" id="{E424C868-A04A-45BB-BADD-E2F2ED4B29A2}">
            <xm:f>AND(IF(L164&lt;'Plan de Accion 2018'!AH45,L164&lt;&gt;"N/A"))</xm:f>
            <x14:dxf>
              <fill>
                <patternFill>
                  <bgColor indexed="10"/>
                </patternFill>
              </fill>
            </x14:dxf>
          </x14:cfRule>
          <xm:sqref>L164</xm:sqref>
        </x14:conditionalFormatting>
        <x14:conditionalFormatting xmlns:xm="http://schemas.microsoft.com/office/excel/2006/main">
          <x14:cfRule type="expression" priority="2723" id="{246632F1-7C03-489A-AE92-80E02045F584}">
            <xm:f>AND(IF(L165&gt;'Plan de Accion 2018'!AH64,L165&lt;&gt;¨N/A¨))</xm:f>
            <x14:dxf>
              <fill>
                <patternFill>
                  <bgColor theme="1" tint="0.499984740745262"/>
                </patternFill>
              </fill>
            </x14:dxf>
          </x14:cfRule>
          <x14:cfRule type="expression" priority="2724" stopIfTrue="1" id="{51DA99E1-18DB-44AC-AF36-11D3D4C398CF}">
            <xm:f>AND(IF(L165='Plan de Accion 2018'!AH64,L165&lt;&gt;"N/A"))</xm:f>
            <x14:dxf>
              <fill>
                <patternFill>
                  <bgColor rgb="FF00B050"/>
                </patternFill>
              </fill>
            </x14:dxf>
          </x14:cfRule>
          <x14:cfRule type="expression" priority="2725" stopIfTrue="1" id="{D616F941-2CD4-4A6C-8107-CB9BC7F858F4}">
            <xm:f>AND(IF(L165&lt;'Plan de Accion 2018'!AH64,L165&lt;&gt;"N/A"))</xm:f>
            <x14:dxf>
              <fill>
                <patternFill>
                  <bgColor indexed="10"/>
                </patternFill>
              </fill>
            </x14:dxf>
          </x14:cfRule>
          <xm:sqref>L165</xm:sqref>
        </x14:conditionalFormatting>
        <x14:conditionalFormatting xmlns:xm="http://schemas.microsoft.com/office/excel/2006/main">
          <x14:cfRule type="expression" priority="2720" id="{F7C338D5-5C26-4340-9154-4D6B2F83D750}">
            <xm:f>AND(IF(L166&gt;'Plan de Accion 2018'!AH76,L166&lt;&gt;¨N/A¨))</xm:f>
            <x14:dxf>
              <fill>
                <patternFill>
                  <bgColor theme="1" tint="0.499984740745262"/>
                </patternFill>
              </fill>
            </x14:dxf>
          </x14:cfRule>
          <x14:cfRule type="expression" priority="2721" stopIfTrue="1" id="{E519CD6C-E7B8-44C2-A73C-FCC8B5D54247}">
            <xm:f>AND(IF(L166='Plan de Accion 2018'!AH76,L166&lt;&gt;"N/A"))</xm:f>
            <x14:dxf>
              <fill>
                <patternFill>
                  <bgColor rgb="FF00B050"/>
                </patternFill>
              </fill>
            </x14:dxf>
          </x14:cfRule>
          <x14:cfRule type="expression" priority="2722" stopIfTrue="1" id="{3AFCCF64-03D3-47D2-979C-3D9E034C04F8}">
            <xm:f>AND(IF(L166&lt;'Plan de Accion 2018'!AH76,L166&lt;&gt;"N/A"))</xm:f>
            <x14:dxf>
              <fill>
                <patternFill>
                  <bgColor indexed="10"/>
                </patternFill>
              </fill>
            </x14:dxf>
          </x14:cfRule>
          <xm:sqref>L166</xm:sqref>
        </x14:conditionalFormatting>
        <x14:conditionalFormatting xmlns:xm="http://schemas.microsoft.com/office/excel/2006/main">
          <x14:cfRule type="expression" priority="2717" id="{94D5B3DF-C526-4D8C-8AE2-C6E5D83BBFBB}">
            <xm:f>AND(IF(L167&gt;'Plan de Accion 2018'!AH89,L167&lt;&gt;¨N/A¨))</xm:f>
            <x14:dxf>
              <fill>
                <patternFill>
                  <bgColor theme="1" tint="0.499984740745262"/>
                </patternFill>
              </fill>
            </x14:dxf>
          </x14:cfRule>
          <x14:cfRule type="expression" priority="2718" stopIfTrue="1" id="{45FF82D3-7ACE-470A-A0C4-1C49EA8EDC5D}">
            <xm:f>AND(IF(L167='Plan de Accion 2018'!AH89,L167&lt;&gt;"N/A"))</xm:f>
            <x14:dxf>
              <fill>
                <patternFill>
                  <bgColor rgb="FF00B050"/>
                </patternFill>
              </fill>
            </x14:dxf>
          </x14:cfRule>
          <x14:cfRule type="expression" priority="2719" stopIfTrue="1" id="{9D0FF794-998C-46E8-9845-CD9C320AA1DB}">
            <xm:f>AND(IF(L167&lt;'Plan de Accion 2018'!AH89,L167&lt;&gt;"N/A"))</xm:f>
            <x14:dxf>
              <fill>
                <patternFill>
                  <bgColor indexed="10"/>
                </patternFill>
              </fill>
            </x14:dxf>
          </x14:cfRule>
          <xm:sqref>L167</xm:sqref>
        </x14:conditionalFormatting>
        <x14:conditionalFormatting xmlns:xm="http://schemas.microsoft.com/office/excel/2006/main">
          <x14:cfRule type="expression" priority="2714" id="{65B77048-8EBB-4671-A11F-AA4AB698F6A3}">
            <xm:f>AND(IF(L209&gt;'Plan de Accion 2018'!AH154,L209&lt;&gt;¨N/A¨))</xm:f>
            <x14:dxf>
              <fill>
                <patternFill>
                  <bgColor theme="1" tint="0.499984740745262"/>
                </patternFill>
              </fill>
            </x14:dxf>
          </x14:cfRule>
          <x14:cfRule type="expression" priority="2715" stopIfTrue="1" id="{6B01A7A2-E4EE-4493-B0F4-5ABBD6CC3620}">
            <xm:f>AND(IF(L209='Plan de Accion 2018'!AH154,L209&lt;&gt;"N/A"))</xm:f>
            <x14:dxf>
              <fill>
                <patternFill>
                  <bgColor rgb="FF00B050"/>
                </patternFill>
              </fill>
            </x14:dxf>
          </x14:cfRule>
          <x14:cfRule type="expression" priority="2716" stopIfTrue="1" id="{783DC5D6-163E-4602-ABB9-EEC214A0FB42}">
            <xm:f>AND(IF(L209&lt;'Plan de Accion 2018'!AH154,L209&lt;&gt;"N/A"))</xm:f>
            <x14:dxf>
              <fill>
                <patternFill>
                  <bgColor indexed="10"/>
                </patternFill>
              </fill>
            </x14:dxf>
          </x14:cfRule>
          <xm:sqref>L209</xm:sqref>
        </x14:conditionalFormatting>
        <x14:conditionalFormatting xmlns:xm="http://schemas.microsoft.com/office/excel/2006/main">
          <x14:cfRule type="expression" priority="2705" id="{F7A7F0F4-6C05-4526-B6F9-6FC8074B4BE6}">
            <xm:f>AND(IF(L173&gt;'Plan de Accion 2018'!AH13,L173&lt;&gt;¨N/A¨))</xm:f>
            <x14:dxf>
              <fill>
                <patternFill>
                  <bgColor theme="1" tint="0.499984740745262"/>
                </patternFill>
              </fill>
            </x14:dxf>
          </x14:cfRule>
          <x14:cfRule type="expression" priority="2706" stopIfTrue="1" id="{BFFBE208-63E2-4893-8342-F953A6979207}">
            <xm:f>AND(IF(L173='Plan de Accion 2018'!AH13,L173&lt;&gt;"N/A"))</xm:f>
            <x14:dxf>
              <fill>
                <patternFill>
                  <bgColor rgb="FF00B050"/>
                </patternFill>
              </fill>
            </x14:dxf>
          </x14:cfRule>
          <x14:cfRule type="expression" priority="2707" stopIfTrue="1" id="{292AE63C-09EE-499E-A316-3A14F301385D}">
            <xm:f>AND(IF(L173&lt;'Plan de Accion 2018'!AH13,L173&lt;&gt;"N/A"))</xm:f>
            <x14:dxf>
              <fill>
                <patternFill>
                  <bgColor indexed="10"/>
                </patternFill>
              </fill>
            </x14:dxf>
          </x14:cfRule>
          <xm:sqref>L173:L174</xm:sqref>
        </x14:conditionalFormatting>
        <x14:conditionalFormatting xmlns:xm="http://schemas.microsoft.com/office/excel/2006/main">
          <x14:cfRule type="expression" priority="2699" id="{3C4CF5C5-1B9E-485E-A95C-7160C621E01B}">
            <xm:f>AND(IF(L175&gt;'Plan de Accion 2018'!AH46,L175&lt;&gt;¨N/A¨))</xm:f>
            <x14:dxf>
              <fill>
                <patternFill>
                  <bgColor theme="1" tint="0.499984740745262"/>
                </patternFill>
              </fill>
            </x14:dxf>
          </x14:cfRule>
          <x14:cfRule type="expression" priority="2700" stopIfTrue="1" id="{D0DD3133-5EC8-4E7B-8B8B-48B857CF7EF1}">
            <xm:f>AND(IF(L175='Plan de Accion 2018'!AH46,L175&lt;&gt;"N/A"))</xm:f>
            <x14:dxf>
              <fill>
                <patternFill>
                  <bgColor rgb="FF00B050"/>
                </patternFill>
              </fill>
            </x14:dxf>
          </x14:cfRule>
          <x14:cfRule type="expression" priority="2701" stopIfTrue="1" id="{2ED0208C-35B2-4E51-BB0F-9ED5D461BAA6}">
            <xm:f>AND(IF(L175&lt;'Plan de Accion 2018'!AH46,L175&lt;&gt;"N/A"))</xm:f>
            <x14:dxf>
              <fill>
                <patternFill>
                  <bgColor indexed="10"/>
                </patternFill>
              </fill>
            </x14:dxf>
          </x14:cfRule>
          <xm:sqref>L175:L176</xm:sqref>
        </x14:conditionalFormatting>
        <x14:conditionalFormatting xmlns:xm="http://schemas.microsoft.com/office/excel/2006/main">
          <x14:cfRule type="expression" priority="2693" id="{D10AD4BA-AB32-479B-A05F-7EBB47AECE0D}">
            <xm:f>AND(IF(L177&gt;'Plan de Accion 2018'!AH65,L177&lt;&gt;¨N/A¨))</xm:f>
            <x14:dxf>
              <fill>
                <patternFill>
                  <bgColor theme="1" tint="0.499984740745262"/>
                </patternFill>
              </fill>
            </x14:dxf>
          </x14:cfRule>
          <x14:cfRule type="expression" priority="2694" stopIfTrue="1" id="{E8804082-AE2C-4662-ADD2-A6A58D3333B9}">
            <xm:f>AND(IF(L177='Plan de Accion 2018'!AH65,L177&lt;&gt;"N/A"))</xm:f>
            <x14:dxf>
              <fill>
                <patternFill>
                  <bgColor rgb="FF00B050"/>
                </patternFill>
              </fill>
            </x14:dxf>
          </x14:cfRule>
          <x14:cfRule type="expression" priority="2695" stopIfTrue="1" id="{27638E90-BB39-497E-B54B-48A04239D80C}">
            <xm:f>AND(IF(L177&lt;'Plan de Accion 2018'!AH65,L177&lt;&gt;"N/A"))</xm:f>
            <x14:dxf>
              <fill>
                <patternFill>
                  <bgColor indexed="10"/>
                </patternFill>
              </fill>
            </x14:dxf>
          </x14:cfRule>
          <xm:sqref>L177:L178</xm:sqref>
        </x14:conditionalFormatting>
        <x14:conditionalFormatting xmlns:xm="http://schemas.microsoft.com/office/excel/2006/main">
          <x14:cfRule type="expression" priority="2681" id="{F979C8CE-8970-4390-93D7-B930FB13FA79}">
            <xm:f>AND(IF(L181&gt;'Plan de Accion 2018'!AH90,L181&lt;&gt;¨N/A¨))</xm:f>
            <x14:dxf>
              <fill>
                <patternFill>
                  <bgColor theme="1" tint="0.499984740745262"/>
                </patternFill>
              </fill>
            </x14:dxf>
          </x14:cfRule>
          <x14:cfRule type="expression" priority="2682" stopIfTrue="1" id="{DC8BE4F0-62E4-4709-95C8-D14350CE195D}">
            <xm:f>AND(IF(L181='Plan de Accion 2018'!AH90,L181&lt;&gt;"N/A"))</xm:f>
            <x14:dxf>
              <fill>
                <patternFill>
                  <bgColor rgb="FF00B050"/>
                </patternFill>
              </fill>
            </x14:dxf>
          </x14:cfRule>
          <x14:cfRule type="expression" priority="2683" stopIfTrue="1" id="{1737FCC3-9BEE-4FF3-8347-C592FF44D509}">
            <xm:f>AND(IF(L181&lt;'Plan de Accion 2018'!AH90,L181&lt;&gt;"N/A"))</xm:f>
            <x14:dxf>
              <fill>
                <patternFill>
                  <bgColor indexed="10"/>
                </patternFill>
              </fill>
            </x14:dxf>
          </x14:cfRule>
          <xm:sqref>L181:L182</xm:sqref>
        </x14:conditionalFormatting>
        <x14:conditionalFormatting xmlns:xm="http://schemas.microsoft.com/office/excel/2006/main">
          <x14:cfRule type="expression" priority="2675" id="{C70BE97F-9581-466F-8476-006345B65701}">
            <xm:f>AND(IF(L183&gt;'Plan de Accion 2018'!AH99,L183&lt;&gt;¨N/A¨))</xm:f>
            <x14:dxf>
              <fill>
                <patternFill>
                  <bgColor theme="1" tint="0.499984740745262"/>
                </patternFill>
              </fill>
            </x14:dxf>
          </x14:cfRule>
          <x14:cfRule type="expression" priority="2676" stopIfTrue="1" id="{6AA328FE-740E-4721-8E09-E6232575F793}">
            <xm:f>AND(IF(L183='Plan de Accion 2018'!AH99,L183&lt;&gt;"N/A"))</xm:f>
            <x14:dxf>
              <fill>
                <patternFill>
                  <bgColor rgb="FF00B050"/>
                </patternFill>
              </fill>
            </x14:dxf>
          </x14:cfRule>
          <x14:cfRule type="expression" priority="2677" stopIfTrue="1" id="{68D20D59-AD49-413B-BB4D-D28DC57AA934}">
            <xm:f>AND(IF(L183&lt;'Plan de Accion 2018'!AH99,L183&lt;&gt;"N/A"))</xm:f>
            <x14:dxf>
              <fill>
                <patternFill>
                  <bgColor indexed="10"/>
                </patternFill>
              </fill>
            </x14:dxf>
          </x14:cfRule>
          <xm:sqref>L183:L184</xm:sqref>
        </x14:conditionalFormatting>
        <x14:conditionalFormatting xmlns:xm="http://schemas.microsoft.com/office/excel/2006/main">
          <x14:cfRule type="expression" priority="2669" id="{AEED1921-B118-40D2-A51E-22C68E2315C2}">
            <xm:f>AND(IF(L185&gt;'Plan de Accion 2018'!AH104,L185&lt;&gt;¨N/A¨))</xm:f>
            <x14:dxf>
              <fill>
                <patternFill>
                  <bgColor theme="1" tint="0.499984740745262"/>
                </patternFill>
              </fill>
            </x14:dxf>
          </x14:cfRule>
          <x14:cfRule type="expression" priority="2670" stopIfTrue="1" id="{BD326BBB-BAD8-471F-ADBF-3BCD223DE849}">
            <xm:f>AND(IF(L185='Plan de Accion 2018'!AH104,L185&lt;&gt;"N/A"))</xm:f>
            <x14:dxf>
              <fill>
                <patternFill>
                  <bgColor rgb="FF00B050"/>
                </patternFill>
              </fill>
            </x14:dxf>
          </x14:cfRule>
          <x14:cfRule type="expression" priority="2671" stopIfTrue="1" id="{F0FFB52E-2E33-45E5-B096-AC18015601E3}">
            <xm:f>AND(IF(L185&lt;'Plan de Accion 2018'!AH104,L185&lt;&gt;"N/A"))</xm:f>
            <x14:dxf>
              <fill>
                <patternFill>
                  <bgColor indexed="10"/>
                </patternFill>
              </fill>
            </x14:dxf>
          </x14:cfRule>
          <xm:sqref>L185</xm:sqref>
        </x14:conditionalFormatting>
        <x14:conditionalFormatting xmlns:xm="http://schemas.microsoft.com/office/excel/2006/main">
          <x14:cfRule type="expression" priority="2666" id="{EC52F4D3-6861-4E95-B563-0CF185EC48D9}">
            <xm:f>AND(IF(L186&gt;'Plan de Accion 2018'!AH110,L186&lt;&gt;¨N/A¨))</xm:f>
            <x14:dxf>
              <fill>
                <patternFill>
                  <bgColor theme="1" tint="0.499984740745262"/>
                </patternFill>
              </fill>
            </x14:dxf>
          </x14:cfRule>
          <x14:cfRule type="expression" priority="2667" stopIfTrue="1" id="{CB3E0CD7-35FE-4C45-A0F5-E8DAD3C483B3}">
            <xm:f>AND(IF(L186='Plan de Accion 2018'!AH110,L186&lt;&gt;"N/A"))</xm:f>
            <x14:dxf>
              <fill>
                <patternFill>
                  <bgColor rgb="FF00B050"/>
                </patternFill>
              </fill>
            </x14:dxf>
          </x14:cfRule>
          <x14:cfRule type="expression" priority="2668" stopIfTrue="1" id="{CA364EB9-78EF-4F2D-88EC-5965D454D2A3}">
            <xm:f>AND(IF(L186&lt;'Plan de Accion 2018'!AH110,L186&lt;&gt;"N/A"))</xm:f>
            <x14:dxf>
              <fill>
                <patternFill>
                  <bgColor indexed="10"/>
                </patternFill>
              </fill>
            </x14:dxf>
          </x14:cfRule>
          <xm:sqref>L186</xm:sqref>
        </x14:conditionalFormatting>
        <x14:conditionalFormatting xmlns:xm="http://schemas.microsoft.com/office/excel/2006/main">
          <x14:cfRule type="expression" priority="2663" id="{806775A4-E06B-4AD5-B436-1E956898ADD4}">
            <xm:f>AND(IF(L187&gt;'Plan de Accion 2018'!AH113,L187&lt;&gt;¨N/A¨))</xm:f>
            <x14:dxf>
              <fill>
                <patternFill>
                  <bgColor theme="1" tint="0.499984740745262"/>
                </patternFill>
              </fill>
            </x14:dxf>
          </x14:cfRule>
          <x14:cfRule type="expression" priority="2664" stopIfTrue="1" id="{509B5EF4-C980-4BD9-A551-545091121A71}">
            <xm:f>AND(IF(L187='Plan de Accion 2018'!AH113,L187&lt;&gt;"N/A"))</xm:f>
            <x14:dxf>
              <fill>
                <patternFill>
                  <bgColor rgb="FF00B050"/>
                </patternFill>
              </fill>
            </x14:dxf>
          </x14:cfRule>
          <x14:cfRule type="expression" priority="2665" stopIfTrue="1" id="{4330EEE7-BF68-4EFB-B0C8-EEF0F7606D69}">
            <xm:f>AND(IF(L187&lt;'Plan de Accion 2018'!AH113,L187&lt;&gt;"N/A"))</xm:f>
            <x14:dxf>
              <fill>
                <patternFill>
                  <bgColor indexed="10"/>
                </patternFill>
              </fill>
            </x14:dxf>
          </x14:cfRule>
          <xm:sqref>L187</xm:sqref>
        </x14:conditionalFormatting>
        <x14:conditionalFormatting xmlns:xm="http://schemas.microsoft.com/office/excel/2006/main">
          <x14:cfRule type="expression" priority="2660" id="{14142AA0-DF71-42F5-A751-99335CD5EC05}">
            <xm:f>AND(IF(L188&gt;'Plan de Accion 2018'!AH115,L188&lt;&gt;¨N/A¨))</xm:f>
            <x14:dxf>
              <fill>
                <patternFill>
                  <bgColor theme="1" tint="0.499984740745262"/>
                </patternFill>
              </fill>
            </x14:dxf>
          </x14:cfRule>
          <x14:cfRule type="expression" priority="2661" stopIfTrue="1" id="{1B564A17-ED10-4DD2-A0A8-FADEECB7CCF5}">
            <xm:f>AND(IF(L188='Plan de Accion 2018'!AH115,L188&lt;&gt;"N/A"))</xm:f>
            <x14:dxf>
              <fill>
                <patternFill>
                  <bgColor rgb="FF00B050"/>
                </patternFill>
              </fill>
            </x14:dxf>
          </x14:cfRule>
          <x14:cfRule type="expression" priority="2662" stopIfTrue="1" id="{D3366F6E-EEC0-4121-89CE-1B0C0AA75AAC}">
            <xm:f>AND(IF(L188&lt;'Plan de Accion 2018'!AH115,L188&lt;&gt;"N/A"))</xm:f>
            <x14:dxf>
              <fill>
                <patternFill>
                  <bgColor indexed="10"/>
                </patternFill>
              </fill>
            </x14:dxf>
          </x14:cfRule>
          <xm:sqref>L188:L191</xm:sqref>
        </x14:conditionalFormatting>
        <x14:conditionalFormatting xmlns:xm="http://schemas.microsoft.com/office/excel/2006/main">
          <x14:cfRule type="expression" priority="2639" id="{1F2EC599-4B16-48F9-B02D-34F2E440CF93}">
            <xm:f>AND(IF(L196&gt;'Plan de Accion 2018'!AH63,L196&lt;&gt;¨N/A¨))</xm:f>
            <x14:dxf>
              <fill>
                <patternFill>
                  <bgColor theme="1" tint="0.499984740745262"/>
                </patternFill>
              </fill>
            </x14:dxf>
          </x14:cfRule>
          <x14:cfRule type="expression" priority="2640" stopIfTrue="1" id="{01894C9A-82C1-452C-9179-94E5F3BF6068}">
            <xm:f>AND(IF(L196='Plan de Accion 2018'!AH63,L196&lt;&gt;"N/A"))</xm:f>
            <x14:dxf>
              <fill>
                <patternFill>
                  <bgColor rgb="FF00B050"/>
                </patternFill>
              </fill>
            </x14:dxf>
          </x14:cfRule>
          <x14:cfRule type="expression" priority="2641" stopIfTrue="1" id="{8C939E41-33DE-4B9D-931F-810A9F2AE403}">
            <xm:f>AND(IF(L196&lt;'Plan de Accion 2018'!AH63,L196&lt;&gt;"N/A"))</xm:f>
            <x14:dxf>
              <fill>
                <patternFill>
                  <bgColor indexed="10"/>
                </patternFill>
              </fill>
            </x14:dxf>
          </x14:cfRule>
          <xm:sqref>L196</xm:sqref>
        </x14:conditionalFormatting>
        <x14:conditionalFormatting xmlns:xm="http://schemas.microsoft.com/office/excel/2006/main">
          <x14:cfRule type="expression" priority="2636" id="{64A3840A-A2FA-49AE-B681-3D696F15B322}">
            <xm:f>AND(IF(L197&gt;'Plan de Accion 2018'!AH71,L197&lt;&gt;¨N/A¨))</xm:f>
            <x14:dxf>
              <fill>
                <patternFill>
                  <bgColor theme="1" tint="0.499984740745262"/>
                </patternFill>
              </fill>
            </x14:dxf>
          </x14:cfRule>
          <x14:cfRule type="expression" priority="2637" stopIfTrue="1" id="{87219508-3DCC-4822-9220-AB6F48D6348C}">
            <xm:f>AND(IF(L197='Plan de Accion 2018'!AH71,L197&lt;&gt;"N/A"))</xm:f>
            <x14:dxf>
              <fill>
                <patternFill>
                  <bgColor rgb="FF00B050"/>
                </patternFill>
              </fill>
            </x14:dxf>
          </x14:cfRule>
          <x14:cfRule type="expression" priority="2638" stopIfTrue="1" id="{73EB2442-9802-44C1-996B-D158588F991F}">
            <xm:f>AND(IF(L197&lt;'Plan de Accion 2018'!AH71,L197&lt;&gt;"N/A"))</xm:f>
            <x14:dxf>
              <fill>
                <patternFill>
                  <bgColor indexed="10"/>
                </patternFill>
              </fill>
            </x14:dxf>
          </x14:cfRule>
          <xm:sqref>L197</xm:sqref>
        </x14:conditionalFormatting>
        <x14:conditionalFormatting xmlns:xm="http://schemas.microsoft.com/office/excel/2006/main">
          <x14:cfRule type="expression" priority="2633" id="{78CCB6B2-466D-4D27-A6B1-C17EBC82C0AA}">
            <xm:f>AND(IF(L199&gt;'Plan de Accion 2018'!AH79,L199&lt;&gt;¨N/A¨))</xm:f>
            <x14:dxf>
              <fill>
                <patternFill>
                  <bgColor theme="1" tint="0.499984740745262"/>
                </patternFill>
              </fill>
            </x14:dxf>
          </x14:cfRule>
          <x14:cfRule type="expression" priority="2634" stopIfTrue="1" id="{260393C6-A83A-4FCD-B6B1-6F07869E18D3}">
            <xm:f>AND(IF(L199='Plan de Accion 2018'!AH79,L199&lt;&gt;"N/A"))</xm:f>
            <x14:dxf>
              <fill>
                <patternFill>
                  <bgColor rgb="FF00B050"/>
                </patternFill>
              </fill>
            </x14:dxf>
          </x14:cfRule>
          <x14:cfRule type="expression" priority="2635" stopIfTrue="1" id="{E43A1C0A-FA9C-43B5-97DA-0A89C1832DC6}">
            <xm:f>AND(IF(L199&lt;'Plan de Accion 2018'!AH79,L199&lt;&gt;"N/A"))</xm:f>
            <x14:dxf>
              <fill>
                <patternFill>
                  <bgColor indexed="10"/>
                </patternFill>
              </fill>
            </x14:dxf>
          </x14:cfRule>
          <xm:sqref>L199</xm:sqref>
        </x14:conditionalFormatting>
        <x14:conditionalFormatting xmlns:xm="http://schemas.microsoft.com/office/excel/2006/main">
          <x14:cfRule type="expression" priority="2630" id="{6546BD91-21AF-47E1-B13A-CFF2EB2B17E4}">
            <xm:f>AND(IF(L200&gt;'Plan de Accion 2018'!AH83,L200&lt;&gt;¨N/A¨))</xm:f>
            <x14:dxf>
              <fill>
                <patternFill>
                  <bgColor theme="1" tint="0.499984740745262"/>
                </patternFill>
              </fill>
            </x14:dxf>
          </x14:cfRule>
          <x14:cfRule type="expression" priority="2631" stopIfTrue="1" id="{D23F11B2-884B-4920-B3E3-90BF20D3B4EA}">
            <xm:f>AND(IF(L200='Plan de Accion 2018'!AH83,L200&lt;&gt;"N/A"))</xm:f>
            <x14:dxf>
              <fill>
                <patternFill>
                  <bgColor rgb="FF00B050"/>
                </patternFill>
              </fill>
            </x14:dxf>
          </x14:cfRule>
          <x14:cfRule type="expression" priority="2632" stopIfTrue="1" id="{0AFD58CD-AF0C-4F3A-99F8-38CF254493B3}">
            <xm:f>AND(IF(L200&lt;'Plan de Accion 2018'!AH83,L200&lt;&gt;"N/A"))</xm:f>
            <x14:dxf>
              <fill>
                <patternFill>
                  <bgColor indexed="10"/>
                </patternFill>
              </fill>
            </x14:dxf>
          </x14:cfRule>
          <xm:sqref>L200:L201</xm:sqref>
        </x14:conditionalFormatting>
        <x14:conditionalFormatting xmlns:xm="http://schemas.microsoft.com/office/excel/2006/main">
          <x14:cfRule type="expression" priority="2624" id="{D188112E-B719-454C-979C-713418E52C28}">
            <xm:f>AND(IF(L203&gt;'Plan de Accion 2018'!AH73,L203&lt;&gt;¨N/A¨))</xm:f>
            <x14:dxf>
              <fill>
                <patternFill>
                  <bgColor theme="1" tint="0.499984740745262"/>
                </patternFill>
              </fill>
            </x14:dxf>
          </x14:cfRule>
          <x14:cfRule type="expression" priority="2625" stopIfTrue="1" id="{B175742A-6386-4E2E-85DD-812B5245FE1E}">
            <xm:f>AND(IF(L203='Plan de Accion 2018'!AH73,L203&lt;&gt;"N/A"))</xm:f>
            <x14:dxf>
              <fill>
                <patternFill>
                  <bgColor rgb="FF00B050"/>
                </patternFill>
              </fill>
            </x14:dxf>
          </x14:cfRule>
          <x14:cfRule type="expression" priority="2626" stopIfTrue="1" id="{15808E98-4483-4E89-98AB-CFB36D88708F}">
            <xm:f>AND(IF(L203&lt;'Plan de Accion 2018'!AH73,L203&lt;&gt;"N/A"))</xm:f>
            <x14:dxf>
              <fill>
                <patternFill>
                  <bgColor indexed="10"/>
                </patternFill>
              </fill>
            </x14:dxf>
          </x14:cfRule>
          <xm:sqref>L203</xm:sqref>
        </x14:conditionalFormatting>
        <x14:conditionalFormatting xmlns:xm="http://schemas.microsoft.com/office/excel/2006/main">
          <x14:cfRule type="expression" priority="2621" id="{A5B9E652-8F7B-446E-BFD9-F83A5466864A}">
            <xm:f>AND(IF(L204&gt;'Plan de Accion 2018'!AH129,L204&lt;&gt;¨N/A¨))</xm:f>
            <x14:dxf>
              <fill>
                <patternFill>
                  <bgColor theme="1" tint="0.499984740745262"/>
                </patternFill>
              </fill>
            </x14:dxf>
          </x14:cfRule>
          <x14:cfRule type="expression" priority="2622" stopIfTrue="1" id="{08ADF7B6-257C-4ED3-A3FB-98F7523364B9}">
            <xm:f>AND(IF(L204='Plan de Accion 2018'!AH129,L204&lt;&gt;"N/A"))</xm:f>
            <x14:dxf>
              <fill>
                <patternFill>
                  <bgColor rgb="FF00B050"/>
                </patternFill>
              </fill>
            </x14:dxf>
          </x14:cfRule>
          <x14:cfRule type="expression" priority="2623" stopIfTrue="1" id="{1121CD45-62B9-4833-A6A1-1896894D7864}">
            <xm:f>AND(IF(L204&lt;'Plan de Accion 2018'!AH129,L204&lt;&gt;"N/A"))</xm:f>
            <x14:dxf>
              <fill>
                <patternFill>
                  <bgColor indexed="10"/>
                </patternFill>
              </fill>
            </x14:dxf>
          </x14:cfRule>
          <xm:sqref>L204:L206</xm:sqref>
        </x14:conditionalFormatting>
        <x14:conditionalFormatting xmlns:xm="http://schemas.microsoft.com/office/excel/2006/main">
          <x14:cfRule type="expression" priority="2606" id="{E4664697-7FD8-4A50-AF54-F2DEBF862091}">
            <xm:f>AND(IF(L212&gt;'Plan de Accion 2018'!AH101,L212&lt;&gt;¨N/A¨))</xm:f>
            <x14:dxf>
              <fill>
                <patternFill>
                  <bgColor theme="1" tint="0.499984740745262"/>
                </patternFill>
              </fill>
            </x14:dxf>
          </x14:cfRule>
          <x14:cfRule type="expression" priority="2607" stopIfTrue="1" id="{03452113-1A33-45B9-AB30-65B96F877BD4}">
            <xm:f>AND(IF(L212='Plan de Accion 2018'!AH101,L212&lt;&gt;"N/A"))</xm:f>
            <x14:dxf>
              <fill>
                <patternFill>
                  <bgColor rgb="FF00B050"/>
                </patternFill>
              </fill>
            </x14:dxf>
          </x14:cfRule>
          <x14:cfRule type="expression" priority="2608" stopIfTrue="1" id="{67A10020-4359-4BE0-B26F-72D85DD1D570}">
            <xm:f>AND(IF(L212&lt;'Plan de Accion 2018'!AH101,L212&lt;&gt;"N/A"))</xm:f>
            <x14:dxf>
              <fill>
                <patternFill>
                  <bgColor indexed="10"/>
                </patternFill>
              </fill>
            </x14:dxf>
          </x14:cfRule>
          <xm:sqref>L212:L213</xm:sqref>
        </x14:conditionalFormatting>
        <x14:conditionalFormatting xmlns:xm="http://schemas.microsoft.com/office/excel/2006/main">
          <x14:cfRule type="expression" priority="2600" id="{9AACE797-51CB-4031-A1AD-EAB404204988}">
            <xm:f>AND(IF(L214&gt;'Plan de Accion 2018'!AH121,L214&lt;&gt;¨N/A¨))</xm:f>
            <x14:dxf>
              <fill>
                <patternFill>
                  <bgColor theme="1" tint="0.499984740745262"/>
                </patternFill>
              </fill>
            </x14:dxf>
          </x14:cfRule>
          <x14:cfRule type="expression" priority="2601" stopIfTrue="1" id="{CE20B04A-7A2B-4EA3-B378-71D1BAE8D37C}">
            <xm:f>AND(IF(L214='Plan de Accion 2018'!AH121,L214&lt;&gt;"N/A"))</xm:f>
            <x14:dxf>
              <fill>
                <patternFill>
                  <bgColor rgb="FF00B050"/>
                </patternFill>
              </fill>
            </x14:dxf>
          </x14:cfRule>
          <x14:cfRule type="expression" priority="2602" stopIfTrue="1" id="{9B107B35-DB0E-4D8C-8D30-A5369EE88043}">
            <xm:f>AND(IF(L214&lt;'Plan de Accion 2018'!AH121,L214&lt;&gt;"N/A"))</xm:f>
            <x14:dxf>
              <fill>
                <patternFill>
                  <bgColor indexed="10"/>
                </patternFill>
              </fill>
            </x14:dxf>
          </x14:cfRule>
          <xm:sqref>L214</xm:sqref>
        </x14:conditionalFormatting>
        <x14:conditionalFormatting xmlns:xm="http://schemas.microsoft.com/office/excel/2006/main">
          <x14:cfRule type="expression" priority="2597" id="{1E9D69AB-0694-4271-A68A-4C2AB9749529}">
            <xm:f>AND(IF(P29&gt;'Plan de Accion 2018'!AR104,P29&lt;&gt;¨N/A¨))</xm:f>
            <x14:dxf>
              <fill>
                <patternFill>
                  <bgColor theme="1" tint="0.499984740745262"/>
                </patternFill>
              </fill>
            </x14:dxf>
          </x14:cfRule>
          <x14:cfRule type="expression" priority="2598" stopIfTrue="1" id="{4E1C9FBB-41B3-44CB-8BA4-A08122D92C7D}">
            <xm:f>AND(IF(P29='Plan de Accion 2018'!AR104,P29&lt;&gt;"N/A"))</xm:f>
            <x14:dxf>
              <fill>
                <patternFill>
                  <bgColor rgb="FF00B050"/>
                </patternFill>
              </fill>
            </x14:dxf>
          </x14:cfRule>
          <x14:cfRule type="expression" priority="2599" stopIfTrue="1" id="{D99BA996-213D-4FC8-8A8E-4DBA63D9A2A4}">
            <xm:f>AND(IF(P29&lt;'Plan de Accion 2018'!AR104,P29&lt;&gt;"N/A"))</xm:f>
            <x14:dxf>
              <fill>
                <patternFill>
                  <bgColor indexed="10"/>
                </patternFill>
              </fill>
            </x14:dxf>
          </x14:cfRule>
          <xm:sqref>P75:P78 P29 P32</xm:sqref>
        </x14:conditionalFormatting>
        <x14:conditionalFormatting xmlns:xm="http://schemas.microsoft.com/office/excel/2006/main">
          <x14:cfRule type="expression" priority="2594" id="{2FFED81D-AD1A-4481-837F-6CA01CE302AC}">
            <xm:f>AND(IF(T29&gt;'Plan de Accion 2018'!BB104,T29&lt;&gt;¨N/A¨))</xm:f>
            <x14:dxf>
              <fill>
                <patternFill>
                  <bgColor theme="1" tint="0.499984740745262"/>
                </patternFill>
              </fill>
            </x14:dxf>
          </x14:cfRule>
          <x14:cfRule type="expression" priority="2595" stopIfTrue="1" id="{0FEA846A-70C0-400C-BAA0-0FD9AE5191E1}">
            <xm:f>AND(IF(T29='Plan de Accion 2018'!BB104,T29&lt;&gt;"N/A"))</xm:f>
            <x14:dxf>
              <fill>
                <patternFill>
                  <bgColor rgb="FF00B050"/>
                </patternFill>
              </fill>
            </x14:dxf>
          </x14:cfRule>
          <x14:cfRule type="expression" priority="2596" stopIfTrue="1" id="{EB7A37DA-053C-4544-BFEF-0EEE9C93918E}">
            <xm:f>AND(IF(T29&lt;'Plan de Accion 2018'!BB104,T29&lt;&gt;"N/A"))</xm:f>
            <x14:dxf>
              <fill>
                <patternFill>
                  <bgColor indexed="10"/>
                </patternFill>
              </fill>
            </x14:dxf>
          </x14:cfRule>
          <xm:sqref>T75:T78 T29 T32</xm:sqref>
        </x14:conditionalFormatting>
        <x14:conditionalFormatting xmlns:xm="http://schemas.microsoft.com/office/excel/2006/main">
          <x14:cfRule type="expression" priority="2582" id="{DC40F82D-5E3C-438B-AA23-DAFC66870A48}">
            <xm:f>AND(IF(P18&gt;'Plan de Accion 2018'!AR105,P18&lt;&gt;¨N/A¨))</xm:f>
            <x14:dxf>
              <fill>
                <patternFill>
                  <bgColor theme="1" tint="0.499984740745262"/>
                </patternFill>
              </fill>
            </x14:dxf>
          </x14:cfRule>
          <x14:cfRule type="expression" priority="2583" stopIfTrue="1" id="{3A72E9DC-7EA0-4B88-8B59-D166790E91B0}">
            <xm:f>AND(IF(P18='Plan de Accion 2018'!AR105,P18&lt;&gt;"N/A"))</xm:f>
            <x14:dxf>
              <fill>
                <patternFill>
                  <bgColor rgb="FF00B050"/>
                </patternFill>
              </fill>
            </x14:dxf>
          </x14:cfRule>
          <x14:cfRule type="expression" priority="2584" stopIfTrue="1" id="{68AA3693-DF7C-4C74-834A-EF264EFA16D1}">
            <xm:f>AND(IF(P18&lt;'Plan de Accion 2018'!AR105,P18&lt;&gt;"N/A"))</xm:f>
            <x14:dxf>
              <fill>
                <patternFill>
                  <bgColor indexed="10"/>
                </patternFill>
              </fill>
            </x14:dxf>
          </x14:cfRule>
          <xm:sqref>P18:P19</xm:sqref>
        </x14:conditionalFormatting>
        <x14:conditionalFormatting xmlns:xm="http://schemas.microsoft.com/office/excel/2006/main">
          <x14:cfRule type="expression" priority="2576" id="{D1CB3311-D836-41E6-B3AB-7678E78BDC55}">
            <xm:f>AND(IF(P20&gt;'Plan de Accion 2018'!AR145,P20&lt;&gt;¨N/A¨))</xm:f>
            <x14:dxf>
              <fill>
                <patternFill>
                  <bgColor theme="1" tint="0.499984740745262"/>
                </patternFill>
              </fill>
            </x14:dxf>
          </x14:cfRule>
          <x14:cfRule type="expression" priority="2577" stopIfTrue="1" id="{55B111B2-4E59-4451-82EB-0C191B9BC210}">
            <xm:f>AND(IF(P20='Plan de Accion 2018'!AR145,P20&lt;&gt;"N/A"))</xm:f>
            <x14:dxf>
              <fill>
                <patternFill>
                  <bgColor rgb="FF00B050"/>
                </patternFill>
              </fill>
            </x14:dxf>
          </x14:cfRule>
          <x14:cfRule type="expression" priority="2578" stopIfTrue="1" id="{ECB205B8-E0C7-4EA9-A0AC-6997DB31D9ED}">
            <xm:f>AND(IF(P20&lt;'Plan de Accion 2018'!AR145,P20&lt;&gt;"N/A"))</xm:f>
            <x14:dxf>
              <fill>
                <patternFill>
                  <bgColor indexed="10"/>
                </patternFill>
              </fill>
            </x14:dxf>
          </x14:cfRule>
          <xm:sqref>P20</xm:sqref>
        </x14:conditionalFormatting>
        <x14:conditionalFormatting xmlns:xm="http://schemas.microsoft.com/office/excel/2006/main">
          <x14:cfRule type="expression" priority="2573" id="{20CED6E8-6615-4E2C-9AEA-CD1A439C0C91}">
            <xm:f>AND(IF(P21&gt;'Plan de Accion 2018'!AR103,P21&lt;&gt;¨N/A¨))</xm:f>
            <x14:dxf>
              <fill>
                <patternFill>
                  <bgColor theme="1" tint="0.499984740745262"/>
                </patternFill>
              </fill>
            </x14:dxf>
          </x14:cfRule>
          <x14:cfRule type="expression" priority="2574" stopIfTrue="1" id="{63C3187A-EA12-4E37-8DBE-12D9DA5B6AF1}">
            <xm:f>AND(IF(P21='Plan de Accion 2018'!AR103,P21&lt;&gt;"N/A"))</xm:f>
            <x14:dxf>
              <fill>
                <patternFill>
                  <bgColor rgb="FF00B050"/>
                </patternFill>
              </fill>
            </x14:dxf>
          </x14:cfRule>
          <x14:cfRule type="expression" priority="2575" stopIfTrue="1" id="{AE0DF9C7-65D7-4679-90FA-977FB463C6A3}">
            <xm:f>AND(IF(P21&lt;'Plan de Accion 2018'!AR103,P21&lt;&gt;"N/A"))</xm:f>
            <x14:dxf>
              <fill>
                <patternFill>
                  <bgColor indexed="10"/>
                </patternFill>
              </fill>
            </x14:dxf>
          </x14:cfRule>
          <xm:sqref>P21</xm:sqref>
        </x14:conditionalFormatting>
        <x14:conditionalFormatting xmlns:xm="http://schemas.microsoft.com/office/excel/2006/main">
          <x14:cfRule type="expression" priority="2570" id="{005B194A-89AF-48EB-A777-A38E0E98A52D}">
            <xm:f>AND(IF(P22&gt;'Plan de Accion 2018'!AR108,P22&lt;&gt;¨N/A¨))</xm:f>
            <x14:dxf>
              <fill>
                <patternFill>
                  <bgColor theme="1" tint="0.499984740745262"/>
                </patternFill>
              </fill>
            </x14:dxf>
          </x14:cfRule>
          <x14:cfRule type="expression" priority="2571" stopIfTrue="1" id="{531E85F9-CD52-4078-A056-79717E7F7CA8}">
            <xm:f>AND(IF(P22='Plan de Accion 2018'!AR108,P22&lt;&gt;"N/A"))</xm:f>
            <x14:dxf>
              <fill>
                <patternFill>
                  <bgColor rgb="FF00B050"/>
                </patternFill>
              </fill>
            </x14:dxf>
          </x14:cfRule>
          <x14:cfRule type="expression" priority="2572" stopIfTrue="1" id="{4A73A318-2AC9-46EB-B853-696DC940C9CF}">
            <xm:f>AND(IF(P22&lt;'Plan de Accion 2018'!AR108,P22&lt;&gt;"N/A"))</xm:f>
            <x14:dxf>
              <fill>
                <patternFill>
                  <bgColor indexed="10"/>
                </patternFill>
              </fill>
            </x14:dxf>
          </x14:cfRule>
          <xm:sqref>P22:P23</xm:sqref>
        </x14:conditionalFormatting>
        <x14:conditionalFormatting xmlns:xm="http://schemas.microsoft.com/office/excel/2006/main">
          <x14:cfRule type="expression" priority="2564" id="{C70C1D6A-B4DE-47B3-80BD-9A18C91A56F4}">
            <xm:f>AND(IF(P24&gt;'Plan de Accion 2018'!AR112,P24&lt;&gt;¨N/A¨))</xm:f>
            <x14:dxf>
              <fill>
                <patternFill>
                  <bgColor theme="1" tint="0.499984740745262"/>
                </patternFill>
              </fill>
            </x14:dxf>
          </x14:cfRule>
          <x14:cfRule type="expression" priority="2565" stopIfTrue="1" id="{A3F2AE33-D399-4F76-B3AA-6876B78E98A1}">
            <xm:f>AND(IF(P24='Plan de Accion 2018'!AR112,P24&lt;&gt;"N/A"))</xm:f>
            <x14:dxf>
              <fill>
                <patternFill>
                  <bgColor rgb="FF00B050"/>
                </patternFill>
              </fill>
            </x14:dxf>
          </x14:cfRule>
          <x14:cfRule type="expression" priority="2566" stopIfTrue="1" id="{5C4AD753-92A9-4A33-86E7-14C63F80DE03}">
            <xm:f>AND(IF(P24&lt;'Plan de Accion 2018'!AR112,P24&lt;&gt;"N/A"))</xm:f>
            <x14:dxf>
              <fill>
                <patternFill>
                  <bgColor indexed="10"/>
                </patternFill>
              </fill>
            </x14:dxf>
          </x14:cfRule>
          <xm:sqref>P24</xm:sqref>
        </x14:conditionalFormatting>
        <x14:conditionalFormatting xmlns:xm="http://schemas.microsoft.com/office/excel/2006/main">
          <x14:cfRule type="expression" priority="2549" id="{E2AF93F4-8EA9-4460-AC38-B85743843E85}">
            <xm:f>AND(IF(P30&gt;'Plan de Accion 2018'!AR110,P30&lt;&gt;¨N/A¨))</xm:f>
            <x14:dxf>
              <fill>
                <patternFill>
                  <bgColor theme="1" tint="0.499984740745262"/>
                </patternFill>
              </fill>
            </x14:dxf>
          </x14:cfRule>
          <x14:cfRule type="expression" priority="2550" stopIfTrue="1" id="{A1E6F794-B957-4B81-BCF8-307C25972A31}">
            <xm:f>AND(IF(P30='Plan de Accion 2018'!AR110,P30&lt;&gt;"N/A"))</xm:f>
            <x14:dxf>
              <fill>
                <patternFill>
                  <bgColor rgb="FF00B050"/>
                </patternFill>
              </fill>
            </x14:dxf>
          </x14:cfRule>
          <x14:cfRule type="expression" priority="2551" stopIfTrue="1" id="{9EC8FCF7-B7BF-4CCE-AF5D-5D16E4718096}">
            <xm:f>AND(IF(P30&lt;'Plan de Accion 2018'!AR110,P30&lt;&gt;"N/A"))</xm:f>
            <x14:dxf>
              <fill>
                <patternFill>
                  <bgColor indexed="10"/>
                </patternFill>
              </fill>
            </x14:dxf>
          </x14:cfRule>
          <xm:sqref>P30:P31 P33</xm:sqref>
        </x14:conditionalFormatting>
        <x14:conditionalFormatting xmlns:xm="http://schemas.microsoft.com/office/excel/2006/main">
          <x14:cfRule type="expression" priority="2537" id="{BF0B6E22-C3CC-4C42-9795-C057E74E35B4}">
            <xm:f>AND(IF(P34&gt;'Plan de Accion 2018'!AR9,P34&lt;&gt;¨N/A¨))</xm:f>
            <x14:dxf>
              <fill>
                <patternFill>
                  <bgColor theme="1" tint="0.499984740745262"/>
                </patternFill>
              </fill>
            </x14:dxf>
          </x14:cfRule>
          <x14:cfRule type="expression" priority="2538" stopIfTrue="1" id="{F7F13A01-E500-42DC-A464-DBA4E4165846}">
            <xm:f>AND(IF(P34='Plan de Accion 2018'!AR9,P34&lt;&gt;"N/A"))</xm:f>
            <x14:dxf>
              <fill>
                <patternFill>
                  <bgColor rgb="FF00B050"/>
                </patternFill>
              </fill>
            </x14:dxf>
          </x14:cfRule>
          <x14:cfRule type="expression" priority="2539" stopIfTrue="1" id="{D632523A-3DAB-4891-8B8A-AF2BA91F875F}">
            <xm:f>AND(IF(P34&lt;'Plan de Accion 2018'!AR9,P34&lt;&gt;"N/A"))</xm:f>
            <x14:dxf>
              <fill>
                <patternFill>
                  <bgColor indexed="10"/>
                </patternFill>
              </fill>
            </x14:dxf>
          </x14:cfRule>
          <xm:sqref>P34 P150:P153</xm:sqref>
        </x14:conditionalFormatting>
        <x14:conditionalFormatting xmlns:xm="http://schemas.microsoft.com/office/excel/2006/main">
          <x14:cfRule type="expression" priority="2531" id="{ADE71894-A4CD-489D-ABA0-427EFB165093}">
            <xm:f>AND(IF(P35&gt;'Plan de Accion 2018'!AR142,P35&lt;&gt;¨N/A¨))</xm:f>
            <x14:dxf>
              <fill>
                <patternFill>
                  <bgColor theme="1" tint="0.499984740745262"/>
                </patternFill>
              </fill>
            </x14:dxf>
          </x14:cfRule>
          <x14:cfRule type="expression" priority="2532" stopIfTrue="1" id="{BDAA8F36-C6DB-4F9D-9DB5-6B86DD7252C8}">
            <xm:f>AND(IF(P35='Plan de Accion 2018'!AR142,P35&lt;&gt;"N/A"))</xm:f>
            <x14:dxf>
              <fill>
                <patternFill>
                  <bgColor rgb="FF00B050"/>
                </patternFill>
              </fill>
            </x14:dxf>
          </x14:cfRule>
          <x14:cfRule type="expression" priority="2533" stopIfTrue="1" id="{6F942E34-5ECC-40CA-A81D-25B062776FC3}">
            <xm:f>AND(IF(P35&lt;'Plan de Accion 2018'!AR142,P35&lt;&gt;"N/A"))</xm:f>
            <x14:dxf>
              <fill>
                <patternFill>
                  <bgColor indexed="10"/>
                </patternFill>
              </fill>
            </x14:dxf>
          </x14:cfRule>
          <xm:sqref>P35</xm:sqref>
        </x14:conditionalFormatting>
        <x14:conditionalFormatting xmlns:xm="http://schemas.microsoft.com/office/excel/2006/main">
          <x14:cfRule type="expression" priority="2456" id="{CBD4CABE-BD69-41CA-A75A-267E0931AD82}">
            <xm:f>AND(IF(P37&gt;'Plan de Accion 2018'!AR15,P37&lt;&gt;¨N/A¨))</xm:f>
            <x14:dxf>
              <fill>
                <patternFill>
                  <bgColor theme="1" tint="0.499984740745262"/>
                </patternFill>
              </fill>
            </x14:dxf>
          </x14:cfRule>
          <x14:cfRule type="expression" priority="2457" stopIfTrue="1" id="{EA243B99-C1ED-4CFC-891F-3EB62BFCC292}">
            <xm:f>AND(IF(P37='Plan de Accion 2018'!AR15,P37&lt;&gt;"N/A"))</xm:f>
            <x14:dxf>
              <fill>
                <patternFill>
                  <bgColor rgb="FF00B050"/>
                </patternFill>
              </fill>
            </x14:dxf>
          </x14:cfRule>
          <x14:cfRule type="expression" priority="2458" stopIfTrue="1" id="{1EF57BF8-53CA-42FA-95BF-87753B17536F}">
            <xm:f>AND(IF(P37&lt;'Plan de Accion 2018'!AR15,P37&lt;&gt;"N/A"))</xm:f>
            <x14:dxf>
              <fill>
                <patternFill>
                  <bgColor indexed="10"/>
                </patternFill>
              </fill>
            </x14:dxf>
          </x14:cfRule>
          <xm:sqref>P154:P156 P37:P59</xm:sqref>
        </x14:conditionalFormatting>
        <x14:conditionalFormatting xmlns:xm="http://schemas.microsoft.com/office/excel/2006/main">
          <x14:cfRule type="expression" priority="2447" id="{1F3DE2B5-A54D-4475-A3E6-C7E9D18323ED}">
            <xm:f>AND(IF(P65&gt;'Plan de Accion 2018'!AR80,P65&lt;&gt;¨N/A¨))</xm:f>
            <x14:dxf>
              <fill>
                <patternFill>
                  <bgColor theme="1" tint="0.499984740745262"/>
                </patternFill>
              </fill>
            </x14:dxf>
          </x14:cfRule>
          <x14:cfRule type="expression" priority="2448" stopIfTrue="1" id="{84D24D04-D58F-42BA-8550-283B3EABAEB2}">
            <xm:f>AND(IF(P65='Plan de Accion 2018'!AR80,P65&lt;&gt;"N/A"))</xm:f>
            <x14:dxf>
              <fill>
                <patternFill>
                  <bgColor rgb="FF00B050"/>
                </patternFill>
              </fill>
            </x14:dxf>
          </x14:cfRule>
          <x14:cfRule type="expression" priority="2449" stopIfTrue="1" id="{5B2623EA-C437-49AC-96DD-0EC5EF9260D7}">
            <xm:f>AND(IF(P65&lt;'Plan de Accion 2018'!AR80,P65&lt;&gt;"N/A"))</xm:f>
            <x14:dxf>
              <fill>
                <patternFill>
                  <bgColor indexed="10"/>
                </patternFill>
              </fill>
            </x14:dxf>
          </x14:cfRule>
          <xm:sqref>P65:P67</xm:sqref>
        </x14:conditionalFormatting>
        <x14:conditionalFormatting xmlns:xm="http://schemas.microsoft.com/office/excel/2006/main">
          <x14:cfRule type="expression" priority="2438" id="{5AA9FA82-88C6-47B4-A9C5-AB62C4C976BB}">
            <xm:f>AND(IF(P68&gt;'Plan de Accion 2018'!AR85,P68&lt;&gt;¨N/A¨))</xm:f>
            <x14:dxf>
              <fill>
                <patternFill>
                  <bgColor theme="1" tint="0.499984740745262"/>
                </patternFill>
              </fill>
            </x14:dxf>
          </x14:cfRule>
          <x14:cfRule type="expression" priority="2439" stopIfTrue="1" id="{5DE29CBC-7262-432B-97FD-F5512263C894}">
            <xm:f>AND(IF(P68='Plan de Accion 2018'!AR85,P68&lt;&gt;"N/A"))</xm:f>
            <x14:dxf>
              <fill>
                <patternFill>
                  <bgColor rgb="FF00B050"/>
                </patternFill>
              </fill>
            </x14:dxf>
          </x14:cfRule>
          <x14:cfRule type="expression" priority="2440" stopIfTrue="1" id="{BDF1E6F5-9B70-4727-A8E1-3D3ADC259AA9}">
            <xm:f>AND(IF(P68&lt;'Plan de Accion 2018'!AR85,P68&lt;&gt;"N/A"))</xm:f>
            <x14:dxf>
              <fill>
                <patternFill>
                  <bgColor indexed="10"/>
                </patternFill>
              </fill>
            </x14:dxf>
          </x14:cfRule>
          <xm:sqref>P68:P71</xm:sqref>
        </x14:conditionalFormatting>
        <x14:conditionalFormatting xmlns:xm="http://schemas.microsoft.com/office/excel/2006/main">
          <x14:cfRule type="expression" priority="2426" id="{E2E55D6E-D7CB-417B-A685-D48A4F2C5568}">
            <xm:f>AND(IF(P72&gt;'Plan de Accion 2018'!AR83,P72&lt;&gt;¨N/A¨))</xm:f>
            <x14:dxf>
              <fill>
                <patternFill>
                  <bgColor theme="1" tint="0.499984740745262"/>
                </patternFill>
              </fill>
            </x14:dxf>
          </x14:cfRule>
          <x14:cfRule type="expression" priority="2427" stopIfTrue="1" id="{9220BF4C-2DC1-40B4-9AB3-06C358C647EB}">
            <xm:f>AND(IF(P72='Plan de Accion 2018'!AR83,P72&lt;&gt;"N/A"))</xm:f>
            <x14:dxf>
              <fill>
                <patternFill>
                  <bgColor rgb="FF00B050"/>
                </patternFill>
              </fill>
            </x14:dxf>
          </x14:cfRule>
          <x14:cfRule type="expression" priority="2428" stopIfTrue="1" id="{4A1A161B-C54F-404F-8ACE-A1E38370CC48}">
            <xm:f>AND(IF(P72&lt;'Plan de Accion 2018'!AR83,P72&lt;&gt;"N/A"))</xm:f>
            <x14:dxf>
              <fill>
                <patternFill>
                  <bgColor indexed="10"/>
                </patternFill>
              </fill>
            </x14:dxf>
          </x14:cfRule>
          <xm:sqref>P72:P73</xm:sqref>
        </x14:conditionalFormatting>
        <x14:conditionalFormatting xmlns:xm="http://schemas.microsoft.com/office/excel/2006/main">
          <x14:cfRule type="expression" priority="2414" id="{938DC9C6-9122-47A7-8C53-26337052D67A}">
            <xm:f>AND(IF(P79&gt;'Plan de Accion 2018'!AR138,P79&lt;&gt;¨N/A¨))</xm:f>
            <x14:dxf>
              <fill>
                <patternFill>
                  <bgColor theme="1" tint="0.499984740745262"/>
                </patternFill>
              </fill>
            </x14:dxf>
          </x14:cfRule>
          <x14:cfRule type="expression" priority="2415" stopIfTrue="1" id="{96158919-75C2-43C1-B95F-F4C5C31BFAAC}">
            <xm:f>AND(IF(P79='Plan de Accion 2018'!AR138,P79&lt;&gt;"N/A"))</xm:f>
            <x14:dxf>
              <fill>
                <patternFill>
                  <bgColor rgb="FF00B050"/>
                </patternFill>
              </fill>
            </x14:dxf>
          </x14:cfRule>
          <x14:cfRule type="expression" priority="2416" stopIfTrue="1" id="{D0D1BA5D-501E-4566-8C22-EEFC52B65192}">
            <xm:f>AND(IF(P79&lt;'Plan de Accion 2018'!AR138,P79&lt;&gt;"N/A"))</xm:f>
            <x14:dxf>
              <fill>
                <patternFill>
                  <bgColor indexed="10"/>
                </patternFill>
              </fill>
            </x14:dxf>
          </x14:cfRule>
          <xm:sqref>P79</xm:sqref>
        </x14:conditionalFormatting>
        <x14:conditionalFormatting xmlns:xm="http://schemas.microsoft.com/office/excel/2006/main">
          <x14:cfRule type="expression" priority="2411" id="{7214446E-AFA4-4AF2-9034-B7F1E2C2CB7C}">
            <xm:f>AND(IF(P80&gt;'Plan de Accion 2018'!AR147,P80&lt;&gt;¨N/A¨))</xm:f>
            <x14:dxf>
              <fill>
                <patternFill>
                  <bgColor theme="1" tint="0.499984740745262"/>
                </patternFill>
              </fill>
            </x14:dxf>
          </x14:cfRule>
          <x14:cfRule type="expression" priority="2412" stopIfTrue="1" id="{44323CC4-0625-474B-89F1-706E902740AF}">
            <xm:f>AND(IF(P80='Plan de Accion 2018'!AR147,P80&lt;&gt;"N/A"))</xm:f>
            <x14:dxf>
              <fill>
                <patternFill>
                  <bgColor rgb="FF00B050"/>
                </patternFill>
              </fill>
            </x14:dxf>
          </x14:cfRule>
          <x14:cfRule type="expression" priority="2413" stopIfTrue="1" id="{D9CD71BD-775E-431B-8899-E5C8564B8809}">
            <xm:f>AND(IF(P80&lt;'Plan de Accion 2018'!AR147,P80&lt;&gt;"N/A"))</xm:f>
            <x14:dxf>
              <fill>
                <patternFill>
                  <bgColor indexed="10"/>
                </patternFill>
              </fill>
            </x14:dxf>
          </x14:cfRule>
          <xm:sqref>P80</xm:sqref>
        </x14:conditionalFormatting>
        <x14:conditionalFormatting xmlns:xm="http://schemas.microsoft.com/office/excel/2006/main">
          <x14:cfRule type="expression" priority="2408" id="{3B8999C0-4D6E-49FF-A3AD-AFAE071A9D3A}">
            <xm:f>AND(IF(P81&gt;'Plan de Accion 2018'!AR149,P81&lt;&gt;¨N/A¨))</xm:f>
            <x14:dxf>
              <fill>
                <patternFill>
                  <bgColor theme="1" tint="0.499984740745262"/>
                </patternFill>
              </fill>
            </x14:dxf>
          </x14:cfRule>
          <x14:cfRule type="expression" priority="2409" stopIfTrue="1" id="{50540924-E524-48A7-8938-8A92EB5EE45E}">
            <xm:f>AND(IF(P81='Plan de Accion 2018'!AR149,P81&lt;&gt;"N/A"))</xm:f>
            <x14:dxf>
              <fill>
                <patternFill>
                  <bgColor rgb="FF00B050"/>
                </patternFill>
              </fill>
            </x14:dxf>
          </x14:cfRule>
          <x14:cfRule type="expression" priority="2410" stopIfTrue="1" id="{7C45E433-A13F-4264-B9E4-9619E99EEF11}">
            <xm:f>AND(IF(P81&lt;'Plan de Accion 2018'!AR149,P81&lt;&gt;"N/A"))</xm:f>
            <x14:dxf>
              <fill>
                <patternFill>
                  <bgColor indexed="10"/>
                </patternFill>
              </fill>
            </x14:dxf>
          </x14:cfRule>
          <xm:sqref>P81</xm:sqref>
        </x14:conditionalFormatting>
        <x14:conditionalFormatting xmlns:xm="http://schemas.microsoft.com/office/excel/2006/main">
          <x14:cfRule type="expression" priority="2399" id="{7CAFB880-63C1-45F2-AE0D-C5FDDD53FA52}">
            <xm:f>AND(IF(P88&gt;'Plan de Accion 2018'!AR132,P88&lt;&gt;¨N/A¨))</xm:f>
            <x14:dxf>
              <fill>
                <patternFill>
                  <bgColor theme="1" tint="0.499984740745262"/>
                </patternFill>
              </fill>
            </x14:dxf>
          </x14:cfRule>
          <x14:cfRule type="expression" priority="2400" stopIfTrue="1" id="{F4BFE419-C8B3-40F3-BD37-8574935B65B1}">
            <xm:f>AND(IF(P88='Plan de Accion 2018'!AR132,P88&lt;&gt;"N/A"))</xm:f>
            <x14:dxf>
              <fill>
                <patternFill>
                  <bgColor rgb="FF00B050"/>
                </patternFill>
              </fill>
            </x14:dxf>
          </x14:cfRule>
          <x14:cfRule type="expression" priority="2401" stopIfTrue="1" id="{64151501-E84D-472A-865D-D4FE2F6C0D68}">
            <xm:f>AND(IF(P88&lt;'Plan de Accion 2018'!AR132,P88&lt;&gt;"N/A"))</xm:f>
            <x14:dxf>
              <fill>
                <patternFill>
                  <bgColor indexed="10"/>
                </patternFill>
              </fill>
            </x14:dxf>
          </x14:cfRule>
          <xm:sqref>P91 P88</xm:sqref>
        </x14:conditionalFormatting>
        <x14:conditionalFormatting xmlns:xm="http://schemas.microsoft.com/office/excel/2006/main">
          <x14:cfRule type="expression" priority="2388" id="{8289A572-244A-4381-BF93-BA2425C8B1FD}">
            <xm:f>AND(IF(P92&gt;'Plan de Accion 2018'!AR139,P92&lt;&gt;¨N/A¨))</xm:f>
            <x14:dxf>
              <fill>
                <patternFill>
                  <bgColor theme="1" tint="0.499984740745262"/>
                </patternFill>
              </fill>
            </x14:dxf>
          </x14:cfRule>
          <x14:cfRule type="expression" priority="2389" stopIfTrue="1" id="{05FF23D4-05A8-4770-A180-709299238506}">
            <xm:f>AND(IF(P92='Plan de Accion 2018'!AR139,P92&lt;&gt;"N/A"))</xm:f>
            <x14:dxf>
              <fill>
                <patternFill>
                  <bgColor rgb="FF00B050"/>
                </patternFill>
              </fill>
            </x14:dxf>
          </x14:cfRule>
          <x14:cfRule type="expression" priority="2390" stopIfTrue="1" id="{B9FB368F-5EAF-48DE-A6EB-7AA7914485C5}">
            <xm:f>AND(IF(P92&lt;'Plan de Accion 2018'!AR139,P92&lt;&gt;"N/A"))</xm:f>
            <x14:dxf>
              <fill>
                <patternFill>
                  <bgColor indexed="10"/>
                </patternFill>
              </fill>
            </x14:dxf>
          </x14:cfRule>
          <xm:sqref>P92</xm:sqref>
        </x14:conditionalFormatting>
        <x14:conditionalFormatting xmlns:xm="http://schemas.microsoft.com/office/excel/2006/main">
          <x14:cfRule type="expression" priority="2385" id="{FC618A84-395D-487C-B617-358218306A70}">
            <xm:f>AND(IF(P93&gt;'Plan de Accion 2018'!AR154,P93&lt;&gt;¨N/A¨))</xm:f>
            <x14:dxf>
              <fill>
                <patternFill>
                  <bgColor theme="1" tint="0.499984740745262"/>
                </patternFill>
              </fill>
            </x14:dxf>
          </x14:cfRule>
          <x14:cfRule type="expression" priority="2386" stopIfTrue="1" id="{638FA9B6-1473-4139-A07B-F6FD00261AB3}">
            <xm:f>AND(IF(P93='Plan de Accion 2018'!AR154,P93&lt;&gt;"N/A"))</xm:f>
            <x14:dxf>
              <fill>
                <patternFill>
                  <bgColor rgb="FF00B050"/>
                </patternFill>
              </fill>
            </x14:dxf>
          </x14:cfRule>
          <x14:cfRule type="expression" priority="2387" stopIfTrue="1" id="{D9366432-46FB-4F29-A57C-3C9403C854BE}">
            <xm:f>AND(IF(P93&lt;'Plan de Accion 2018'!AR154,P93&lt;&gt;"N/A"))</xm:f>
            <x14:dxf>
              <fill>
                <patternFill>
                  <bgColor indexed="10"/>
                </patternFill>
              </fill>
            </x14:dxf>
          </x14:cfRule>
          <xm:sqref>P93</xm:sqref>
        </x14:conditionalFormatting>
        <x14:conditionalFormatting xmlns:xm="http://schemas.microsoft.com/office/excel/2006/main">
          <x14:cfRule type="expression" priority="2382" id="{E3B1094F-0559-4BB0-9196-0E49F5D61E2F}">
            <xm:f>AND(IF(P60&gt;'Plan de Accion 2018'!AR40,P60&lt;&gt;¨N/A¨))</xm:f>
            <x14:dxf>
              <fill>
                <patternFill>
                  <bgColor theme="1" tint="0.499984740745262"/>
                </patternFill>
              </fill>
            </x14:dxf>
          </x14:cfRule>
          <x14:cfRule type="expression" priority="2383" stopIfTrue="1" id="{81B9F6A5-EA9B-4A4A-AA47-5D15D17C8ADC}">
            <xm:f>AND(IF(P60='Plan de Accion 2018'!AR40,P60&lt;&gt;"N/A"))</xm:f>
            <x14:dxf>
              <fill>
                <patternFill>
                  <bgColor rgb="FF00B050"/>
                </patternFill>
              </fill>
            </x14:dxf>
          </x14:cfRule>
          <x14:cfRule type="expression" priority="2384" stopIfTrue="1" id="{ADD318B2-7436-4371-AC4C-1F23F281412D}">
            <xm:f>AND(IF(P60&lt;'Plan de Accion 2018'!AR40,P60&lt;&gt;"N/A"))</xm:f>
            <x14:dxf>
              <fill>
                <patternFill>
                  <bgColor indexed="10"/>
                </patternFill>
              </fill>
            </x14:dxf>
          </x14:cfRule>
          <xm:sqref>P157 P60:P62</xm:sqref>
        </x14:conditionalFormatting>
        <x14:conditionalFormatting xmlns:xm="http://schemas.microsoft.com/office/excel/2006/main">
          <x14:cfRule type="expression" priority="2379" id="{65AF48CA-FC9D-4E42-AECB-8D612DC1476F}">
            <xm:f>AND(IF(P169&gt;'Plan de Accion 2018'!AR122,P169&lt;&gt;¨N/A¨))</xm:f>
            <x14:dxf>
              <fill>
                <patternFill>
                  <bgColor theme="1" tint="0.499984740745262"/>
                </patternFill>
              </fill>
            </x14:dxf>
          </x14:cfRule>
          <x14:cfRule type="expression" priority="2380" stopIfTrue="1" id="{DE3A9B37-2057-47BE-832F-CD31597234B4}">
            <xm:f>AND(IF(P169='Plan de Accion 2018'!AR122,P169&lt;&gt;"N/A"))</xm:f>
            <x14:dxf>
              <fill>
                <patternFill>
                  <bgColor rgb="FF00B050"/>
                </patternFill>
              </fill>
            </x14:dxf>
          </x14:cfRule>
          <x14:cfRule type="expression" priority="2381" stopIfTrue="1" id="{01F47C49-371A-4783-8FE8-9CF46627B5B5}">
            <xm:f>AND(IF(P169&lt;'Plan de Accion 2018'!AR122,P169&lt;&gt;"N/A"))</xm:f>
            <x14:dxf>
              <fill>
                <patternFill>
                  <bgColor indexed="10"/>
                </patternFill>
              </fill>
            </x14:dxf>
          </x14:cfRule>
          <xm:sqref>P169</xm:sqref>
        </x14:conditionalFormatting>
        <x14:conditionalFormatting xmlns:xm="http://schemas.microsoft.com/office/excel/2006/main">
          <x14:cfRule type="expression" priority="2376" id="{0D36FE22-0FDB-4241-BB49-96303E25525B}">
            <xm:f>AND(IF(P98&gt;'Plan de Accion 2018'!AR53,P98&lt;&gt;¨N/A¨))</xm:f>
            <x14:dxf>
              <fill>
                <patternFill>
                  <bgColor theme="1" tint="0.499984740745262"/>
                </patternFill>
              </fill>
            </x14:dxf>
          </x14:cfRule>
          <x14:cfRule type="expression" priority="2377" stopIfTrue="1" id="{60095CD0-FCDC-4DF7-BCD0-00F76F562D0D}">
            <xm:f>AND(IF(P98='Plan de Accion 2018'!AR53,P98&lt;&gt;"N/A"))</xm:f>
            <x14:dxf>
              <fill>
                <patternFill>
                  <bgColor rgb="FF00B050"/>
                </patternFill>
              </fill>
            </x14:dxf>
          </x14:cfRule>
          <x14:cfRule type="expression" priority="2378" stopIfTrue="1" id="{2AEF51C4-238A-4048-8D17-C94978C5FFDB}">
            <xm:f>AND(IF(P98&lt;'Plan de Accion 2018'!AR53,P98&lt;&gt;"N/A"))</xm:f>
            <x14:dxf>
              <fill>
                <patternFill>
                  <bgColor indexed="10"/>
                </patternFill>
              </fill>
            </x14:dxf>
          </x14:cfRule>
          <xm:sqref>P98</xm:sqref>
        </x14:conditionalFormatting>
        <x14:conditionalFormatting xmlns:xm="http://schemas.microsoft.com/office/excel/2006/main">
          <x14:cfRule type="expression" priority="2370" id="{783911D8-9EF2-4D5A-885F-0DDF05A50B67}">
            <xm:f>AND(IF(P99&gt;'Plan de Accion 2018'!AR63,P99&lt;&gt;¨N/A¨))</xm:f>
            <x14:dxf>
              <fill>
                <patternFill>
                  <bgColor theme="1" tint="0.499984740745262"/>
                </patternFill>
              </fill>
            </x14:dxf>
          </x14:cfRule>
          <x14:cfRule type="expression" priority="2371" stopIfTrue="1" id="{43523738-6B31-4AE3-9245-DB653413721F}">
            <xm:f>AND(IF(P99='Plan de Accion 2018'!AR63,P99&lt;&gt;"N/A"))</xm:f>
            <x14:dxf>
              <fill>
                <patternFill>
                  <bgColor rgb="FF00B050"/>
                </patternFill>
              </fill>
            </x14:dxf>
          </x14:cfRule>
          <x14:cfRule type="expression" priority="2372" stopIfTrue="1" id="{B4054167-7606-4444-A94E-20AA063E3A15}">
            <xm:f>AND(IF(P99&lt;'Plan de Accion 2018'!AR63,P99&lt;&gt;"N/A"))</xm:f>
            <x14:dxf>
              <fill>
                <patternFill>
                  <bgColor indexed="10"/>
                </patternFill>
              </fill>
            </x14:dxf>
          </x14:cfRule>
          <xm:sqref>P99:P100</xm:sqref>
        </x14:conditionalFormatting>
        <x14:conditionalFormatting xmlns:xm="http://schemas.microsoft.com/office/excel/2006/main">
          <x14:cfRule type="expression" priority="2367" id="{009F15A8-25CD-4BC9-9B92-391AEFBD0CF1}">
            <xm:f>AND(IF(P170&gt;'Plan de Accion 2018'!AR140,P170&lt;&gt;¨N/A¨))</xm:f>
            <x14:dxf>
              <fill>
                <patternFill>
                  <bgColor theme="1" tint="0.499984740745262"/>
                </patternFill>
              </fill>
            </x14:dxf>
          </x14:cfRule>
          <x14:cfRule type="expression" priority="2368" stopIfTrue="1" id="{7DA5B61E-39EE-4441-A5E2-DB150D084442}">
            <xm:f>AND(IF(P170='Plan de Accion 2018'!AR140,P170&lt;&gt;"N/A"))</xm:f>
            <x14:dxf>
              <fill>
                <patternFill>
                  <bgColor rgb="FF00B050"/>
                </patternFill>
              </fill>
            </x14:dxf>
          </x14:cfRule>
          <x14:cfRule type="expression" priority="2369" stopIfTrue="1" id="{B8E6B73D-0C2B-4D4F-970A-1F5192C26B1B}">
            <xm:f>AND(IF(P170&lt;'Plan de Accion 2018'!AR140,P170&lt;&gt;"N/A"))</xm:f>
            <x14:dxf>
              <fill>
                <patternFill>
                  <bgColor indexed="10"/>
                </patternFill>
              </fill>
            </x14:dxf>
          </x14:cfRule>
          <xm:sqref>P170</xm:sqref>
        </x14:conditionalFormatting>
        <x14:conditionalFormatting xmlns:xm="http://schemas.microsoft.com/office/excel/2006/main">
          <x14:cfRule type="expression" priority="2358" id="{EF090E0C-4366-4DC0-ABE7-32851EE300E1}">
            <xm:f>AND(IF(P105&gt;'Plan de Accion 2018'!AR95,P105&lt;&gt;¨N/A¨))</xm:f>
            <x14:dxf>
              <fill>
                <patternFill>
                  <bgColor theme="1" tint="0.499984740745262"/>
                </patternFill>
              </fill>
            </x14:dxf>
          </x14:cfRule>
          <x14:cfRule type="expression" priority="2359" stopIfTrue="1" id="{08541024-31E7-4332-96E2-430FA7DC455C}">
            <xm:f>AND(IF(P105='Plan de Accion 2018'!AR95,P105&lt;&gt;"N/A"))</xm:f>
            <x14:dxf>
              <fill>
                <patternFill>
                  <bgColor rgb="FF00B050"/>
                </patternFill>
              </fill>
            </x14:dxf>
          </x14:cfRule>
          <x14:cfRule type="expression" priority="2360" stopIfTrue="1" id="{7B6537E1-E4B7-441B-8976-7D51D55E2397}">
            <xm:f>AND(IF(P105&lt;'Plan de Accion 2018'!AR95,P105&lt;&gt;"N/A"))</xm:f>
            <x14:dxf>
              <fill>
                <patternFill>
                  <bgColor indexed="10"/>
                </patternFill>
              </fill>
            </x14:dxf>
          </x14:cfRule>
          <xm:sqref>P105:P109</xm:sqref>
        </x14:conditionalFormatting>
        <x14:conditionalFormatting xmlns:xm="http://schemas.microsoft.com/office/excel/2006/main">
          <x14:cfRule type="expression" priority="2346" id="{A6DF7ACB-77E0-4FC0-B861-75BFF70950A8}">
            <xm:f>AND(IF(P110&gt;'Plan de Accion 2018'!AR107,P110&lt;&gt;¨N/A¨))</xm:f>
            <x14:dxf>
              <fill>
                <patternFill>
                  <bgColor theme="1" tint="0.499984740745262"/>
                </patternFill>
              </fill>
            </x14:dxf>
          </x14:cfRule>
          <x14:cfRule type="expression" priority="2347" stopIfTrue="1" id="{CE69D42C-5663-4167-8920-A5DEF16A6A84}">
            <xm:f>AND(IF(P110='Plan de Accion 2018'!AR107,P110&lt;&gt;"N/A"))</xm:f>
            <x14:dxf>
              <fill>
                <patternFill>
                  <bgColor rgb="FF00B050"/>
                </patternFill>
              </fill>
            </x14:dxf>
          </x14:cfRule>
          <x14:cfRule type="expression" priority="2348" stopIfTrue="1" id="{D11D42F9-F014-40AE-A2ED-5379C27D562C}">
            <xm:f>AND(IF(P110&lt;'Plan de Accion 2018'!AR107,P110&lt;&gt;"N/A"))</xm:f>
            <x14:dxf>
              <fill>
                <patternFill>
                  <bgColor indexed="10"/>
                </patternFill>
              </fill>
            </x14:dxf>
          </x14:cfRule>
          <xm:sqref>P110:P111</xm:sqref>
        </x14:conditionalFormatting>
        <x14:conditionalFormatting xmlns:xm="http://schemas.microsoft.com/office/excel/2006/main">
          <x14:cfRule type="expression" priority="2340" id="{39F45714-7368-4451-852B-2769B81067F3}">
            <xm:f>AND(IF(P179&gt;'Plan de Accion 2018'!AR77,P179&lt;&gt;¨N/A¨))</xm:f>
            <x14:dxf>
              <fill>
                <patternFill>
                  <bgColor theme="1" tint="0.499984740745262"/>
                </patternFill>
              </fill>
            </x14:dxf>
          </x14:cfRule>
          <x14:cfRule type="expression" priority="2341" stopIfTrue="1" id="{A21E42F5-E188-4917-864F-7929ABE4FEAF}">
            <xm:f>AND(IF(P179='Plan de Accion 2018'!AR77,P179&lt;&gt;"N/A"))</xm:f>
            <x14:dxf>
              <fill>
                <patternFill>
                  <bgColor rgb="FF00B050"/>
                </patternFill>
              </fill>
            </x14:dxf>
          </x14:cfRule>
          <x14:cfRule type="expression" priority="2342" stopIfTrue="1" id="{54CAC44D-0D31-4D12-9F3C-D27FA10142B9}">
            <xm:f>AND(IF(P179&lt;'Plan de Accion 2018'!AR77,P179&lt;&gt;"N/A"))</xm:f>
            <x14:dxf>
              <fill>
                <patternFill>
                  <bgColor indexed="10"/>
                </patternFill>
              </fill>
            </x14:dxf>
          </x14:cfRule>
          <xm:sqref>P179:P180</xm:sqref>
        </x14:conditionalFormatting>
        <x14:conditionalFormatting xmlns:xm="http://schemas.microsoft.com/office/excel/2006/main">
          <x14:cfRule type="expression" priority="2331" id="{7F2C848D-3848-4A2B-977D-FBEDA56FB4C7}">
            <xm:f>AND(IF(P114&gt;'Plan de Accion 2018'!AR119,P114&lt;&gt;¨N/A¨))</xm:f>
            <x14:dxf>
              <fill>
                <patternFill>
                  <bgColor theme="1" tint="0.499984740745262"/>
                </patternFill>
              </fill>
            </x14:dxf>
          </x14:cfRule>
          <x14:cfRule type="expression" priority="2332" stopIfTrue="1" id="{EEF65C3A-FB60-4266-B3F3-6B2E1007477B}">
            <xm:f>AND(IF(P114='Plan de Accion 2018'!AR119,P114&lt;&gt;"N/A"))</xm:f>
            <x14:dxf>
              <fill>
                <patternFill>
                  <bgColor rgb="FF00B050"/>
                </patternFill>
              </fill>
            </x14:dxf>
          </x14:cfRule>
          <x14:cfRule type="expression" priority="2333" stopIfTrue="1" id="{AC58C304-0BEB-48DF-B0C1-16C11F4C5371}">
            <xm:f>AND(IF(P114&lt;'Plan de Accion 2018'!AR119,P114&lt;&gt;"N/A"))</xm:f>
            <x14:dxf>
              <fill>
                <patternFill>
                  <bgColor indexed="10"/>
                </patternFill>
              </fill>
            </x14:dxf>
          </x14:cfRule>
          <xm:sqref>P114</xm:sqref>
        </x14:conditionalFormatting>
        <x14:conditionalFormatting xmlns:xm="http://schemas.microsoft.com/office/excel/2006/main">
          <x14:cfRule type="expression" priority="2328" id="{C6DDFE17-E2C7-4905-97C0-EE10E6F35193}">
            <xm:f>AND(IF(P115&gt;'Plan de Accion 2018'!AR141,P115&lt;&gt;¨N/A¨))</xm:f>
            <x14:dxf>
              <fill>
                <patternFill>
                  <bgColor theme="1" tint="0.499984740745262"/>
                </patternFill>
              </fill>
            </x14:dxf>
          </x14:cfRule>
          <x14:cfRule type="expression" priority="2329" stopIfTrue="1" id="{E2EE7AAC-653E-45C4-97C9-324C681A777D}">
            <xm:f>AND(IF(P115='Plan de Accion 2018'!AR141,P115&lt;&gt;"N/A"))</xm:f>
            <x14:dxf>
              <fill>
                <patternFill>
                  <bgColor rgb="FF00B050"/>
                </patternFill>
              </fill>
            </x14:dxf>
          </x14:cfRule>
          <x14:cfRule type="expression" priority="2330" stopIfTrue="1" id="{67D35E64-3006-4B78-A101-121DA814D5EB}">
            <xm:f>AND(IF(P115&lt;'Plan de Accion 2018'!AR141,P115&lt;&gt;"N/A"))</xm:f>
            <x14:dxf>
              <fill>
                <patternFill>
                  <bgColor indexed="10"/>
                </patternFill>
              </fill>
            </x14:dxf>
          </x14:cfRule>
          <xm:sqref>P115</xm:sqref>
        </x14:conditionalFormatting>
        <x14:conditionalFormatting xmlns:xm="http://schemas.microsoft.com/office/excel/2006/main">
          <x14:cfRule type="expression" priority="2325" id="{03D6D65B-04D5-4182-BE80-CFD5DDDDC102}">
            <xm:f>AND(IF(P116&gt;'Plan de Accion 2018'!AR143,P116&lt;&gt;¨N/A¨))</xm:f>
            <x14:dxf>
              <fill>
                <patternFill>
                  <bgColor theme="1" tint="0.499984740745262"/>
                </patternFill>
              </fill>
            </x14:dxf>
          </x14:cfRule>
          <x14:cfRule type="expression" priority="2326" stopIfTrue="1" id="{F9557300-0DBD-46A2-B266-D83B13EAE9B8}">
            <xm:f>AND(IF(P116='Plan de Accion 2018'!AR143,P116&lt;&gt;"N/A"))</xm:f>
            <x14:dxf>
              <fill>
                <patternFill>
                  <bgColor rgb="FF00B050"/>
                </patternFill>
              </fill>
            </x14:dxf>
          </x14:cfRule>
          <x14:cfRule type="expression" priority="2327" stopIfTrue="1" id="{C752509E-8738-4CB7-9153-B4F2B3F8EA79}">
            <xm:f>AND(IF(P116&lt;'Plan de Accion 2018'!AR143,P116&lt;&gt;"N/A"))</xm:f>
            <x14:dxf>
              <fill>
                <patternFill>
                  <bgColor indexed="10"/>
                </patternFill>
              </fill>
            </x14:dxf>
          </x14:cfRule>
          <xm:sqref>P116</xm:sqref>
        </x14:conditionalFormatting>
        <x14:conditionalFormatting xmlns:xm="http://schemas.microsoft.com/office/excel/2006/main">
          <x14:cfRule type="expression" priority="2274" id="{8B10F846-51BE-4414-B35D-153C5ED0ED4B}">
            <xm:f>AND(IF(P133&gt;'Plan de Accion 2018'!AR67,P133&lt;&gt;¨N/A¨))</xm:f>
            <x14:dxf>
              <fill>
                <patternFill>
                  <bgColor theme="1" tint="0.499984740745262"/>
                </patternFill>
              </fill>
            </x14:dxf>
          </x14:cfRule>
          <x14:cfRule type="expression" priority="2275" stopIfTrue="1" id="{411A602E-D103-4E99-AF72-DC51F9713946}">
            <xm:f>AND(IF(P133='Plan de Accion 2018'!AR67,P133&lt;&gt;"N/A"))</xm:f>
            <x14:dxf>
              <fill>
                <patternFill>
                  <bgColor rgb="FF00B050"/>
                </patternFill>
              </fill>
            </x14:dxf>
          </x14:cfRule>
          <x14:cfRule type="expression" priority="2276" stopIfTrue="1" id="{C51B46F2-26D0-4BE4-8F48-FCAECD5160C6}">
            <xm:f>AND(IF(P133&lt;'Plan de Accion 2018'!AR67,P133&lt;&gt;"N/A"))</xm:f>
            <x14:dxf>
              <fill>
                <patternFill>
                  <bgColor indexed="10"/>
                </patternFill>
              </fill>
            </x14:dxf>
          </x14:cfRule>
          <xm:sqref>P133:P136</xm:sqref>
        </x14:conditionalFormatting>
        <x14:conditionalFormatting xmlns:xm="http://schemas.microsoft.com/office/excel/2006/main">
          <x14:cfRule type="expression" priority="2265" id="{CE17D25D-F00B-41B1-A419-F87437BB7CA5}">
            <xm:f>AND(IF(P137&gt;'Plan de Accion 2018'!AR72,P137&lt;&gt;¨N/A¨))</xm:f>
            <x14:dxf>
              <fill>
                <patternFill>
                  <bgColor theme="1" tint="0.499984740745262"/>
                </patternFill>
              </fill>
            </x14:dxf>
          </x14:cfRule>
          <x14:cfRule type="expression" priority="2266" stopIfTrue="1" id="{B8BEC380-8065-4DFC-942B-08184E60BDB4}">
            <xm:f>AND(IF(P137='Plan de Accion 2018'!AR72,P137&lt;&gt;"N/A"))</xm:f>
            <x14:dxf>
              <fill>
                <patternFill>
                  <bgColor rgb="FF00B050"/>
                </patternFill>
              </fill>
            </x14:dxf>
          </x14:cfRule>
          <x14:cfRule type="expression" priority="2267" stopIfTrue="1" id="{A8855E53-288C-4EF5-BC08-364DA3984A1C}">
            <xm:f>AND(IF(P137&lt;'Plan de Accion 2018'!AR72,P137&lt;&gt;"N/A"))</xm:f>
            <x14:dxf>
              <fill>
                <patternFill>
                  <bgColor indexed="10"/>
                </patternFill>
              </fill>
            </x14:dxf>
          </x14:cfRule>
          <xm:sqref>P137</xm:sqref>
        </x14:conditionalFormatting>
        <x14:conditionalFormatting xmlns:xm="http://schemas.microsoft.com/office/excel/2006/main">
          <x14:cfRule type="expression" priority="2262" id="{614C0BE5-5E41-4A74-9619-657324DADBB2}">
            <xm:f>AND(IF(P138&gt;'Plan de Accion 2018'!AR74,P138&lt;&gt;¨N/A¨))</xm:f>
            <x14:dxf>
              <fill>
                <patternFill>
                  <bgColor theme="1" tint="0.499984740745262"/>
                </patternFill>
              </fill>
            </x14:dxf>
          </x14:cfRule>
          <x14:cfRule type="expression" priority="2263" stopIfTrue="1" id="{D8813694-B726-400D-AA10-DCA19307EBF9}">
            <xm:f>AND(IF(P138='Plan de Accion 2018'!AR74,P138&lt;&gt;"N/A"))</xm:f>
            <x14:dxf>
              <fill>
                <patternFill>
                  <bgColor rgb="FF00B050"/>
                </patternFill>
              </fill>
            </x14:dxf>
          </x14:cfRule>
          <x14:cfRule type="expression" priority="2264" stopIfTrue="1" id="{64C278E0-3CF3-479D-B72A-BA540413E279}">
            <xm:f>AND(IF(P138&lt;'Plan de Accion 2018'!AR74,P138&lt;&gt;"N/A"))</xm:f>
            <x14:dxf>
              <fill>
                <patternFill>
                  <bgColor indexed="10"/>
                </patternFill>
              </fill>
            </x14:dxf>
          </x14:cfRule>
          <xm:sqref>P138:P139</xm:sqref>
        </x14:conditionalFormatting>
        <x14:conditionalFormatting xmlns:xm="http://schemas.microsoft.com/office/excel/2006/main">
          <x14:cfRule type="expression" priority="2253" id="{CBB10F56-7926-4230-B4D8-EE8F8E8DC1DB}">
            <xm:f>AND(IF(P141&gt;'Plan de Accion 2018'!AR36,P141&lt;&gt;¨N/A¨))</xm:f>
            <x14:dxf>
              <fill>
                <patternFill>
                  <bgColor theme="1" tint="0.499984740745262"/>
                </patternFill>
              </fill>
            </x14:dxf>
          </x14:cfRule>
          <x14:cfRule type="expression" priority="2254" stopIfTrue="1" id="{89C5E2CF-5421-4282-A256-5112FDD86F98}">
            <xm:f>AND(IF(P141='Plan de Accion 2018'!AR36,P141&lt;&gt;"N/A"))</xm:f>
            <x14:dxf>
              <fill>
                <patternFill>
                  <bgColor rgb="FF00B050"/>
                </patternFill>
              </fill>
            </x14:dxf>
          </x14:cfRule>
          <x14:cfRule type="expression" priority="2255" stopIfTrue="1" id="{213114D6-8D39-4653-98AF-15F1144C2139}">
            <xm:f>AND(IF(P141&lt;'Plan de Accion 2018'!AR36,P141&lt;&gt;"N/A"))</xm:f>
            <x14:dxf>
              <fill>
                <patternFill>
                  <bgColor indexed="10"/>
                </patternFill>
              </fill>
            </x14:dxf>
          </x14:cfRule>
          <xm:sqref>P141:P148</xm:sqref>
        </x14:conditionalFormatting>
        <x14:conditionalFormatting xmlns:xm="http://schemas.microsoft.com/office/excel/2006/main">
          <x14:cfRule type="expression" priority="2205" id="{FED11198-6B63-4F33-B83E-0CDF00E72654}">
            <xm:f>AND(IF(P158&gt;'Plan de Accion 2018'!AR139,P158&lt;&gt;¨N/A¨))</xm:f>
            <x14:dxf>
              <fill>
                <patternFill>
                  <bgColor theme="1" tint="0.499984740745262"/>
                </patternFill>
              </fill>
            </x14:dxf>
          </x14:cfRule>
          <x14:cfRule type="expression" priority="2206" stopIfTrue="1" id="{A20BA1EB-D4E3-4AA8-A2C0-3787A26DFE80}">
            <xm:f>AND(IF(P158='Plan de Accion 2018'!AR139,P158&lt;&gt;"N/A"))</xm:f>
            <x14:dxf>
              <fill>
                <patternFill>
                  <bgColor rgb="FF00B050"/>
                </patternFill>
              </fill>
            </x14:dxf>
          </x14:cfRule>
          <x14:cfRule type="expression" priority="2207" stopIfTrue="1" id="{47B853B9-3C06-44C8-997D-37D77C5D9C16}">
            <xm:f>AND(IF(P158&lt;'Plan de Accion 2018'!AR139,P158&lt;&gt;"N/A"))</xm:f>
            <x14:dxf>
              <fill>
                <patternFill>
                  <bgColor indexed="10"/>
                </patternFill>
              </fill>
            </x14:dxf>
          </x14:cfRule>
          <xm:sqref>P158</xm:sqref>
        </x14:conditionalFormatting>
        <x14:conditionalFormatting xmlns:xm="http://schemas.microsoft.com/office/excel/2006/main">
          <x14:cfRule type="expression" priority="2202" id="{747A0A57-DFCE-443B-9B57-650BDDBCF14B}">
            <xm:f>AND(IF(P159&gt;'Plan de Accion 2018'!AR146,P159&lt;&gt;¨N/A¨))</xm:f>
            <x14:dxf>
              <fill>
                <patternFill>
                  <bgColor theme="1" tint="0.499984740745262"/>
                </patternFill>
              </fill>
            </x14:dxf>
          </x14:cfRule>
          <x14:cfRule type="expression" priority="2203" stopIfTrue="1" id="{01E1F1EF-8B53-4381-8E72-635E59F650E3}">
            <xm:f>AND(IF(P159='Plan de Accion 2018'!AR146,P159&lt;&gt;"N/A"))</xm:f>
            <x14:dxf>
              <fill>
                <patternFill>
                  <bgColor rgb="FF00B050"/>
                </patternFill>
              </fill>
            </x14:dxf>
          </x14:cfRule>
          <x14:cfRule type="expression" priority="2204" stopIfTrue="1" id="{89AF6C20-31B2-4568-9618-4C819F02A339}">
            <xm:f>AND(IF(P159&lt;'Plan de Accion 2018'!AR146,P159&lt;&gt;"N/A"))</xm:f>
            <x14:dxf>
              <fill>
                <patternFill>
                  <bgColor indexed="10"/>
                </patternFill>
              </fill>
            </x14:dxf>
          </x14:cfRule>
          <xm:sqref>P159</xm:sqref>
        </x14:conditionalFormatting>
        <x14:conditionalFormatting xmlns:xm="http://schemas.microsoft.com/office/excel/2006/main">
          <x14:cfRule type="expression" priority="2199" id="{20FD569D-676D-457E-8814-F3226C6D75A1}">
            <xm:f>AND(IF(P160&gt;'Plan de Accion 2018'!AR148,P160&lt;&gt;¨N/A¨))</xm:f>
            <x14:dxf>
              <fill>
                <patternFill>
                  <bgColor theme="1" tint="0.499984740745262"/>
                </patternFill>
              </fill>
            </x14:dxf>
          </x14:cfRule>
          <x14:cfRule type="expression" priority="2200" stopIfTrue="1" id="{39189770-CF5A-4E54-B2E9-BAB9DA82A94C}">
            <xm:f>AND(IF(P160='Plan de Accion 2018'!AR148,P160&lt;&gt;"N/A"))</xm:f>
            <x14:dxf>
              <fill>
                <patternFill>
                  <bgColor rgb="FF00B050"/>
                </patternFill>
              </fill>
            </x14:dxf>
          </x14:cfRule>
          <x14:cfRule type="expression" priority="2201" stopIfTrue="1" id="{3CB8A752-16A7-46D3-A91D-2F0FF96CB602}">
            <xm:f>AND(IF(P160&lt;'Plan de Accion 2018'!AR148,P160&lt;&gt;"N/A"))</xm:f>
            <x14:dxf>
              <fill>
                <patternFill>
                  <bgColor indexed="10"/>
                </patternFill>
              </fill>
            </x14:dxf>
          </x14:cfRule>
          <xm:sqref>P160</xm:sqref>
        </x14:conditionalFormatting>
        <x14:conditionalFormatting xmlns:xm="http://schemas.microsoft.com/office/excel/2006/main">
          <x14:cfRule type="expression" priority="2196" id="{0093050E-9B02-4C8B-B72C-9D10F3B585D9}">
            <xm:f>AND(IF(P162&gt;'Plan de Accion 2018'!AR8,P162&lt;&gt;¨N/A¨))</xm:f>
            <x14:dxf>
              <fill>
                <patternFill>
                  <bgColor theme="1" tint="0.499984740745262"/>
                </patternFill>
              </fill>
            </x14:dxf>
          </x14:cfRule>
          <x14:cfRule type="expression" priority="2197" stopIfTrue="1" id="{C7CB7423-69F4-46D9-90FC-7E531F4B3C1C}">
            <xm:f>AND(IF(P162='Plan de Accion 2018'!AR8,P162&lt;&gt;"N/A"))</xm:f>
            <x14:dxf>
              <fill>
                <patternFill>
                  <bgColor rgb="FF00B050"/>
                </patternFill>
              </fill>
            </x14:dxf>
          </x14:cfRule>
          <x14:cfRule type="expression" priority="2198" stopIfTrue="1" id="{B714F7BD-34F9-49FB-B14A-825173BE5014}">
            <xm:f>AND(IF(P162&lt;'Plan de Accion 2018'!AR8,P162&lt;&gt;"N/A"))</xm:f>
            <x14:dxf>
              <fill>
                <patternFill>
                  <bgColor indexed="10"/>
                </patternFill>
              </fill>
            </x14:dxf>
          </x14:cfRule>
          <xm:sqref>P162:P163</xm:sqref>
        </x14:conditionalFormatting>
        <x14:conditionalFormatting xmlns:xm="http://schemas.microsoft.com/office/excel/2006/main">
          <x14:cfRule type="expression" priority="2190" id="{F714D5F8-5D48-4F75-9E56-ECC7015221D0}">
            <xm:f>AND(IF(P164&gt;'Plan de Accion 2018'!AR45,P164&lt;&gt;¨N/A¨))</xm:f>
            <x14:dxf>
              <fill>
                <patternFill>
                  <bgColor theme="1" tint="0.499984740745262"/>
                </patternFill>
              </fill>
            </x14:dxf>
          </x14:cfRule>
          <x14:cfRule type="expression" priority="2191" stopIfTrue="1" id="{4556E2BA-E2DE-4598-B96B-357AC6404AD1}">
            <xm:f>AND(IF(P164='Plan de Accion 2018'!AR45,P164&lt;&gt;"N/A"))</xm:f>
            <x14:dxf>
              <fill>
                <patternFill>
                  <bgColor rgb="FF00B050"/>
                </patternFill>
              </fill>
            </x14:dxf>
          </x14:cfRule>
          <x14:cfRule type="expression" priority="2192" stopIfTrue="1" id="{7F9BB8CD-09AD-448F-B756-EEC57F04592A}">
            <xm:f>AND(IF(P164&lt;'Plan de Accion 2018'!AR45,P164&lt;&gt;"N/A"))</xm:f>
            <x14:dxf>
              <fill>
                <patternFill>
                  <bgColor indexed="10"/>
                </patternFill>
              </fill>
            </x14:dxf>
          </x14:cfRule>
          <xm:sqref>P164</xm:sqref>
        </x14:conditionalFormatting>
        <x14:conditionalFormatting xmlns:xm="http://schemas.microsoft.com/office/excel/2006/main">
          <x14:cfRule type="expression" priority="2187" id="{3CB22836-FE56-4603-9AF8-C954F93BEDC9}">
            <xm:f>AND(IF(P165&gt;'Plan de Accion 2018'!AR64,P165&lt;&gt;¨N/A¨))</xm:f>
            <x14:dxf>
              <fill>
                <patternFill>
                  <bgColor theme="1" tint="0.499984740745262"/>
                </patternFill>
              </fill>
            </x14:dxf>
          </x14:cfRule>
          <x14:cfRule type="expression" priority="2188" stopIfTrue="1" id="{5C73FD31-B063-4949-ABD4-80465FACA59A}">
            <xm:f>AND(IF(P165='Plan de Accion 2018'!AR64,P165&lt;&gt;"N/A"))</xm:f>
            <x14:dxf>
              <fill>
                <patternFill>
                  <bgColor rgb="FF00B050"/>
                </patternFill>
              </fill>
            </x14:dxf>
          </x14:cfRule>
          <x14:cfRule type="expression" priority="2189" stopIfTrue="1" id="{3350EFD4-123A-4356-88D7-929593B29394}">
            <xm:f>AND(IF(P165&lt;'Plan de Accion 2018'!AR64,P165&lt;&gt;"N/A"))</xm:f>
            <x14:dxf>
              <fill>
                <patternFill>
                  <bgColor indexed="10"/>
                </patternFill>
              </fill>
            </x14:dxf>
          </x14:cfRule>
          <xm:sqref>P165</xm:sqref>
        </x14:conditionalFormatting>
        <x14:conditionalFormatting xmlns:xm="http://schemas.microsoft.com/office/excel/2006/main">
          <x14:cfRule type="expression" priority="2184" id="{B0A3C812-D3C4-4DFD-AE89-141C0143A386}">
            <xm:f>AND(IF(P166&gt;'Plan de Accion 2018'!AR76,P166&lt;&gt;¨N/A¨))</xm:f>
            <x14:dxf>
              <fill>
                <patternFill>
                  <bgColor theme="1" tint="0.499984740745262"/>
                </patternFill>
              </fill>
            </x14:dxf>
          </x14:cfRule>
          <x14:cfRule type="expression" priority="2185" stopIfTrue="1" id="{C34DCA7B-524D-4DA5-ACA1-BE82D8C5F1A6}">
            <xm:f>AND(IF(P166='Plan de Accion 2018'!AR76,P166&lt;&gt;"N/A"))</xm:f>
            <x14:dxf>
              <fill>
                <patternFill>
                  <bgColor rgb="FF00B050"/>
                </patternFill>
              </fill>
            </x14:dxf>
          </x14:cfRule>
          <x14:cfRule type="expression" priority="2186" stopIfTrue="1" id="{3CAD693A-A490-4807-A390-C17FAD3049A6}">
            <xm:f>AND(IF(P166&lt;'Plan de Accion 2018'!AR76,P166&lt;&gt;"N/A"))</xm:f>
            <x14:dxf>
              <fill>
                <patternFill>
                  <bgColor indexed="10"/>
                </patternFill>
              </fill>
            </x14:dxf>
          </x14:cfRule>
          <xm:sqref>P166</xm:sqref>
        </x14:conditionalFormatting>
        <x14:conditionalFormatting xmlns:xm="http://schemas.microsoft.com/office/excel/2006/main">
          <x14:cfRule type="expression" priority="2181" id="{20E7F306-212E-46CF-B452-B7CEC041A613}">
            <xm:f>AND(IF(P167&gt;'Plan de Accion 2018'!AR89,P167&lt;&gt;¨N/A¨))</xm:f>
            <x14:dxf>
              <fill>
                <patternFill>
                  <bgColor theme="1" tint="0.499984740745262"/>
                </patternFill>
              </fill>
            </x14:dxf>
          </x14:cfRule>
          <x14:cfRule type="expression" priority="2182" stopIfTrue="1" id="{3EC38065-59F9-48F3-BCD9-11E6019EBBA0}">
            <xm:f>AND(IF(P167='Plan de Accion 2018'!AR89,P167&lt;&gt;"N/A"))</xm:f>
            <x14:dxf>
              <fill>
                <patternFill>
                  <bgColor rgb="FF00B050"/>
                </patternFill>
              </fill>
            </x14:dxf>
          </x14:cfRule>
          <x14:cfRule type="expression" priority="2183" stopIfTrue="1" id="{5FE9E9F2-0173-49CA-A388-1676B4B70A39}">
            <xm:f>AND(IF(P167&lt;'Plan de Accion 2018'!AR89,P167&lt;&gt;"N/A"))</xm:f>
            <x14:dxf>
              <fill>
                <patternFill>
                  <bgColor indexed="10"/>
                </patternFill>
              </fill>
            </x14:dxf>
          </x14:cfRule>
          <xm:sqref>P167</xm:sqref>
        </x14:conditionalFormatting>
        <x14:conditionalFormatting xmlns:xm="http://schemas.microsoft.com/office/excel/2006/main">
          <x14:cfRule type="expression" priority="2178" id="{101D77A3-05AE-4959-8A32-DD9C91F7F4CB}">
            <xm:f>AND(IF(P209&gt;'Plan de Accion 2018'!AR154,P209&lt;&gt;¨N/A¨))</xm:f>
            <x14:dxf>
              <fill>
                <patternFill>
                  <bgColor theme="1" tint="0.499984740745262"/>
                </patternFill>
              </fill>
            </x14:dxf>
          </x14:cfRule>
          <x14:cfRule type="expression" priority="2179" stopIfTrue="1" id="{52D6CCA1-3C6E-40BA-A293-2ACFCEE97573}">
            <xm:f>AND(IF(P209='Plan de Accion 2018'!AR154,P209&lt;&gt;"N/A"))</xm:f>
            <x14:dxf>
              <fill>
                <patternFill>
                  <bgColor rgb="FF00B050"/>
                </patternFill>
              </fill>
            </x14:dxf>
          </x14:cfRule>
          <x14:cfRule type="expression" priority="2180" stopIfTrue="1" id="{D3647766-93EF-40A7-A578-C77F2485DDFE}">
            <xm:f>AND(IF(P209&lt;'Plan de Accion 2018'!AR154,P209&lt;&gt;"N/A"))</xm:f>
            <x14:dxf>
              <fill>
                <patternFill>
                  <bgColor indexed="10"/>
                </patternFill>
              </fill>
            </x14:dxf>
          </x14:cfRule>
          <xm:sqref>P209</xm:sqref>
        </x14:conditionalFormatting>
        <x14:conditionalFormatting xmlns:xm="http://schemas.microsoft.com/office/excel/2006/main">
          <x14:cfRule type="expression" priority="2169" id="{4CE72EB7-3790-4299-A5CE-18CDF786FDFF}">
            <xm:f>AND(IF(P173&gt;'Plan de Accion 2018'!AR13,P173&lt;&gt;¨N/A¨))</xm:f>
            <x14:dxf>
              <fill>
                <patternFill>
                  <bgColor theme="1" tint="0.499984740745262"/>
                </patternFill>
              </fill>
            </x14:dxf>
          </x14:cfRule>
          <x14:cfRule type="expression" priority="2170" stopIfTrue="1" id="{78001223-06BC-4316-954D-D35160F3D0B2}">
            <xm:f>AND(IF(P173='Plan de Accion 2018'!AR13,P173&lt;&gt;"N/A"))</xm:f>
            <x14:dxf>
              <fill>
                <patternFill>
                  <bgColor rgb="FF00B050"/>
                </patternFill>
              </fill>
            </x14:dxf>
          </x14:cfRule>
          <x14:cfRule type="expression" priority="2171" stopIfTrue="1" id="{EDAF408B-AC99-46D1-A55C-05515FB950EB}">
            <xm:f>AND(IF(P173&lt;'Plan de Accion 2018'!AR13,P173&lt;&gt;"N/A"))</xm:f>
            <x14:dxf>
              <fill>
                <patternFill>
                  <bgColor indexed="10"/>
                </patternFill>
              </fill>
            </x14:dxf>
          </x14:cfRule>
          <xm:sqref>P173:P174</xm:sqref>
        </x14:conditionalFormatting>
        <x14:conditionalFormatting xmlns:xm="http://schemas.microsoft.com/office/excel/2006/main">
          <x14:cfRule type="expression" priority="2163" id="{85D27FD3-230F-4B73-A37F-EAF5799485C4}">
            <xm:f>AND(IF(P175&gt;'Plan de Accion 2018'!AR46,P175&lt;&gt;¨N/A¨))</xm:f>
            <x14:dxf>
              <fill>
                <patternFill>
                  <bgColor theme="1" tint="0.499984740745262"/>
                </patternFill>
              </fill>
            </x14:dxf>
          </x14:cfRule>
          <x14:cfRule type="expression" priority="2164" stopIfTrue="1" id="{340FEBC7-9F4A-4512-8CC9-1214706CEF0E}">
            <xm:f>AND(IF(P175='Plan de Accion 2018'!AR46,P175&lt;&gt;"N/A"))</xm:f>
            <x14:dxf>
              <fill>
                <patternFill>
                  <bgColor rgb="FF00B050"/>
                </patternFill>
              </fill>
            </x14:dxf>
          </x14:cfRule>
          <x14:cfRule type="expression" priority="2165" stopIfTrue="1" id="{975397B7-5CD1-4695-864E-C6CE4947878B}">
            <xm:f>AND(IF(P175&lt;'Plan de Accion 2018'!AR46,P175&lt;&gt;"N/A"))</xm:f>
            <x14:dxf>
              <fill>
                <patternFill>
                  <bgColor indexed="10"/>
                </patternFill>
              </fill>
            </x14:dxf>
          </x14:cfRule>
          <xm:sqref>P175:P176</xm:sqref>
        </x14:conditionalFormatting>
        <x14:conditionalFormatting xmlns:xm="http://schemas.microsoft.com/office/excel/2006/main">
          <x14:cfRule type="expression" priority="2157" id="{7F91198E-4A2C-43BD-A867-50E4CD3CD26D}">
            <xm:f>AND(IF(P177&gt;'Plan de Accion 2018'!AR65,P177&lt;&gt;¨N/A¨))</xm:f>
            <x14:dxf>
              <fill>
                <patternFill>
                  <bgColor theme="1" tint="0.499984740745262"/>
                </patternFill>
              </fill>
            </x14:dxf>
          </x14:cfRule>
          <x14:cfRule type="expression" priority="2158" stopIfTrue="1" id="{C006BA77-7F90-42DD-8875-4279318992BA}">
            <xm:f>AND(IF(P177='Plan de Accion 2018'!AR65,P177&lt;&gt;"N/A"))</xm:f>
            <x14:dxf>
              <fill>
                <patternFill>
                  <bgColor rgb="FF00B050"/>
                </patternFill>
              </fill>
            </x14:dxf>
          </x14:cfRule>
          <x14:cfRule type="expression" priority="2159" stopIfTrue="1" id="{A0350434-A7E9-4BE2-BB63-EECF601369CA}">
            <xm:f>AND(IF(P177&lt;'Plan de Accion 2018'!AR65,P177&lt;&gt;"N/A"))</xm:f>
            <x14:dxf>
              <fill>
                <patternFill>
                  <bgColor indexed="10"/>
                </patternFill>
              </fill>
            </x14:dxf>
          </x14:cfRule>
          <xm:sqref>P177:P178</xm:sqref>
        </x14:conditionalFormatting>
        <x14:conditionalFormatting xmlns:xm="http://schemas.microsoft.com/office/excel/2006/main">
          <x14:cfRule type="expression" priority="2145" id="{198C094E-BE28-497D-91D9-CBFAFD2C95A7}">
            <xm:f>AND(IF(P181&gt;'Plan de Accion 2018'!AR90,P181&lt;&gt;¨N/A¨))</xm:f>
            <x14:dxf>
              <fill>
                <patternFill>
                  <bgColor theme="1" tint="0.499984740745262"/>
                </patternFill>
              </fill>
            </x14:dxf>
          </x14:cfRule>
          <x14:cfRule type="expression" priority="2146" stopIfTrue="1" id="{DFBC07CA-CBEF-4CCD-A608-A29778FAE1F4}">
            <xm:f>AND(IF(P181='Plan de Accion 2018'!AR90,P181&lt;&gt;"N/A"))</xm:f>
            <x14:dxf>
              <fill>
                <patternFill>
                  <bgColor rgb="FF00B050"/>
                </patternFill>
              </fill>
            </x14:dxf>
          </x14:cfRule>
          <x14:cfRule type="expression" priority="2147" stopIfTrue="1" id="{015D71D0-53C3-4756-909D-B39FA5BB4B2A}">
            <xm:f>AND(IF(P181&lt;'Plan de Accion 2018'!AR90,P181&lt;&gt;"N/A"))</xm:f>
            <x14:dxf>
              <fill>
                <patternFill>
                  <bgColor indexed="10"/>
                </patternFill>
              </fill>
            </x14:dxf>
          </x14:cfRule>
          <xm:sqref>P181:P182</xm:sqref>
        </x14:conditionalFormatting>
        <x14:conditionalFormatting xmlns:xm="http://schemas.microsoft.com/office/excel/2006/main">
          <x14:cfRule type="expression" priority="2139" id="{A35716D9-2BD4-4340-B072-FF1F2CA88E66}">
            <xm:f>AND(IF(P183&gt;'Plan de Accion 2018'!AR99,P183&lt;&gt;¨N/A¨))</xm:f>
            <x14:dxf>
              <fill>
                <patternFill>
                  <bgColor theme="1" tint="0.499984740745262"/>
                </patternFill>
              </fill>
            </x14:dxf>
          </x14:cfRule>
          <x14:cfRule type="expression" priority="2140" stopIfTrue="1" id="{108BC98D-3197-4284-86FA-C1A04366324E}">
            <xm:f>AND(IF(P183='Plan de Accion 2018'!AR99,P183&lt;&gt;"N/A"))</xm:f>
            <x14:dxf>
              <fill>
                <patternFill>
                  <bgColor rgb="FF00B050"/>
                </patternFill>
              </fill>
            </x14:dxf>
          </x14:cfRule>
          <x14:cfRule type="expression" priority="2141" stopIfTrue="1" id="{E6751CFB-7189-4D6A-98E9-683C93FE1187}">
            <xm:f>AND(IF(P183&lt;'Plan de Accion 2018'!AR99,P183&lt;&gt;"N/A"))</xm:f>
            <x14:dxf>
              <fill>
                <patternFill>
                  <bgColor indexed="10"/>
                </patternFill>
              </fill>
            </x14:dxf>
          </x14:cfRule>
          <xm:sqref>P183:P184</xm:sqref>
        </x14:conditionalFormatting>
        <x14:conditionalFormatting xmlns:xm="http://schemas.microsoft.com/office/excel/2006/main">
          <x14:cfRule type="expression" priority="2133" id="{0B71975D-ECEE-435E-A1F8-C4C4045EE54A}">
            <xm:f>AND(IF(P185&gt;'Plan de Accion 2018'!AR104,P185&lt;&gt;¨N/A¨))</xm:f>
            <x14:dxf>
              <fill>
                <patternFill>
                  <bgColor theme="1" tint="0.499984740745262"/>
                </patternFill>
              </fill>
            </x14:dxf>
          </x14:cfRule>
          <x14:cfRule type="expression" priority="2134" stopIfTrue="1" id="{10B4C44D-CF4C-46AB-B7D8-018A83E7E013}">
            <xm:f>AND(IF(P185='Plan de Accion 2018'!AR104,P185&lt;&gt;"N/A"))</xm:f>
            <x14:dxf>
              <fill>
                <patternFill>
                  <bgColor rgb="FF00B050"/>
                </patternFill>
              </fill>
            </x14:dxf>
          </x14:cfRule>
          <x14:cfRule type="expression" priority="2135" stopIfTrue="1" id="{81437EA1-4EFA-41A3-B6A3-58D48B896B7C}">
            <xm:f>AND(IF(P185&lt;'Plan de Accion 2018'!AR104,P185&lt;&gt;"N/A"))</xm:f>
            <x14:dxf>
              <fill>
                <patternFill>
                  <bgColor indexed="10"/>
                </patternFill>
              </fill>
            </x14:dxf>
          </x14:cfRule>
          <xm:sqref>P185</xm:sqref>
        </x14:conditionalFormatting>
        <x14:conditionalFormatting xmlns:xm="http://schemas.microsoft.com/office/excel/2006/main">
          <x14:cfRule type="expression" priority="2130" id="{7435AFEA-1E5E-4301-AE2D-9DFDBBC730F4}">
            <xm:f>AND(IF(P186&gt;'Plan de Accion 2018'!AR110,P186&lt;&gt;¨N/A¨))</xm:f>
            <x14:dxf>
              <fill>
                <patternFill>
                  <bgColor theme="1" tint="0.499984740745262"/>
                </patternFill>
              </fill>
            </x14:dxf>
          </x14:cfRule>
          <x14:cfRule type="expression" priority="2131" stopIfTrue="1" id="{05FBC670-C350-493E-BD9F-58CD5A7F49DA}">
            <xm:f>AND(IF(P186='Plan de Accion 2018'!AR110,P186&lt;&gt;"N/A"))</xm:f>
            <x14:dxf>
              <fill>
                <patternFill>
                  <bgColor rgb="FF00B050"/>
                </patternFill>
              </fill>
            </x14:dxf>
          </x14:cfRule>
          <x14:cfRule type="expression" priority="2132" stopIfTrue="1" id="{81C30529-D40E-4836-A007-A23FDD33D67A}">
            <xm:f>AND(IF(P186&lt;'Plan de Accion 2018'!AR110,P186&lt;&gt;"N/A"))</xm:f>
            <x14:dxf>
              <fill>
                <patternFill>
                  <bgColor indexed="10"/>
                </patternFill>
              </fill>
            </x14:dxf>
          </x14:cfRule>
          <xm:sqref>P186</xm:sqref>
        </x14:conditionalFormatting>
        <x14:conditionalFormatting xmlns:xm="http://schemas.microsoft.com/office/excel/2006/main">
          <x14:cfRule type="expression" priority="2127" id="{E78AC97B-3444-4D67-904D-E80639AE87E9}">
            <xm:f>AND(IF(P187&gt;'Plan de Accion 2018'!AR113,P187&lt;&gt;¨N/A¨))</xm:f>
            <x14:dxf>
              <fill>
                <patternFill>
                  <bgColor theme="1" tint="0.499984740745262"/>
                </patternFill>
              </fill>
            </x14:dxf>
          </x14:cfRule>
          <x14:cfRule type="expression" priority="2128" stopIfTrue="1" id="{2E1CCCDE-79B5-4FFB-B8F8-26DDDB481DE0}">
            <xm:f>AND(IF(P187='Plan de Accion 2018'!AR113,P187&lt;&gt;"N/A"))</xm:f>
            <x14:dxf>
              <fill>
                <patternFill>
                  <bgColor rgb="FF00B050"/>
                </patternFill>
              </fill>
            </x14:dxf>
          </x14:cfRule>
          <x14:cfRule type="expression" priority="2129" stopIfTrue="1" id="{0A17B4B3-1653-4C3C-A95F-EF77083B82AE}">
            <xm:f>AND(IF(P187&lt;'Plan de Accion 2018'!AR113,P187&lt;&gt;"N/A"))</xm:f>
            <x14:dxf>
              <fill>
                <patternFill>
                  <bgColor indexed="10"/>
                </patternFill>
              </fill>
            </x14:dxf>
          </x14:cfRule>
          <xm:sqref>P187</xm:sqref>
        </x14:conditionalFormatting>
        <x14:conditionalFormatting xmlns:xm="http://schemas.microsoft.com/office/excel/2006/main">
          <x14:cfRule type="expression" priority="2124" id="{CEE550D8-B190-410C-8443-EB67CC8CB876}">
            <xm:f>AND(IF(P188&gt;'Plan de Accion 2018'!AR115,P188&lt;&gt;¨N/A¨))</xm:f>
            <x14:dxf>
              <fill>
                <patternFill>
                  <bgColor theme="1" tint="0.499984740745262"/>
                </patternFill>
              </fill>
            </x14:dxf>
          </x14:cfRule>
          <x14:cfRule type="expression" priority="2125" stopIfTrue="1" id="{1ADA769B-C43D-4CD4-90A6-72168FD15D1E}">
            <xm:f>AND(IF(P188='Plan de Accion 2018'!AR115,P188&lt;&gt;"N/A"))</xm:f>
            <x14:dxf>
              <fill>
                <patternFill>
                  <bgColor rgb="FF00B050"/>
                </patternFill>
              </fill>
            </x14:dxf>
          </x14:cfRule>
          <x14:cfRule type="expression" priority="2126" stopIfTrue="1" id="{ED4A7763-D171-4EF9-93F0-9B8C8350DF9F}">
            <xm:f>AND(IF(P188&lt;'Plan de Accion 2018'!AR115,P188&lt;&gt;"N/A"))</xm:f>
            <x14:dxf>
              <fill>
                <patternFill>
                  <bgColor indexed="10"/>
                </patternFill>
              </fill>
            </x14:dxf>
          </x14:cfRule>
          <xm:sqref>P188:P191</xm:sqref>
        </x14:conditionalFormatting>
        <x14:conditionalFormatting xmlns:xm="http://schemas.microsoft.com/office/excel/2006/main">
          <x14:cfRule type="expression" priority="2112" id="{9301CE03-495E-4346-B2A2-D47C47ABBA3F}">
            <xm:f>AND(IF(P192&gt;'Plan de Accion 2018'!AR120,P192&lt;&gt;¨N/A¨))</xm:f>
            <x14:dxf>
              <fill>
                <patternFill>
                  <bgColor theme="1" tint="0.499984740745262"/>
                </patternFill>
              </fill>
            </x14:dxf>
          </x14:cfRule>
          <x14:cfRule type="expression" priority="2113" stopIfTrue="1" id="{6E156D7F-CDCD-4515-B780-1148A4AD17B3}">
            <xm:f>AND(IF(P192='Plan de Accion 2018'!AR120,P192&lt;&gt;"N/A"))</xm:f>
            <x14:dxf>
              <fill>
                <patternFill>
                  <bgColor rgb="FF00B050"/>
                </patternFill>
              </fill>
            </x14:dxf>
          </x14:cfRule>
          <x14:cfRule type="expression" priority="2114" stopIfTrue="1" id="{DBF53FE7-75D3-432E-92EB-3D31331EBA93}">
            <xm:f>AND(IF(P192&lt;'Plan de Accion 2018'!AR120,P192&lt;&gt;"N/A"))</xm:f>
            <x14:dxf>
              <fill>
                <patternFill>
                  <bgColor indexed="10"/>
                </patternFill>
              </fill>
            </x14:dxf>
          </x14:cfRule>
          <xm:sqref>P207:P208 P192</xm:sqref>
        </x14:conditionalFormatting>
        <x14:conditionalFormatting xmlns:xm="http://schemas.microsoft.com/office/excel/2006/main">
          <x14:cfRule type="expression" priority="2103" id="{2B10CB12-2E8C-40FB-8733-D490235C8494}">
            <xm:f>AND(IF(P196&gt;'Plan de Accion 2018'!AR63,P196&lt;&gt;¨N/A¨))</xm:f>
            <x14:dxf>
              <fill>
                <patternFill>
                  <bgColor theme="1" tint="0.499984740745262"/>
                </patternFill>
              </fill>
            </x14:dxf>
          </x14:cfRule>
          <x14:cfRule type="expression" priority="2104" stopIfTrue="1" id="{6598EF9D-A416-44C8-8889-69C41D232E93}">
            <xm:f>AND(IF(P196='Plan de Accion 2018'!AR63,P196&lt;&gt;"N/A"))</xm:f>
            <x14:dxf>
              <fill>
                <patternFill>
                  <bgColor rgb="FF00B050"/>
                </patternFill>
              </fill>
            </x14:dxf>
          </x14:cfRule>
          <x14:cfRule type="expression" priority="2105" stopIfTrue="1" id="{5CA65FA1-5CC4-42E7-8705-2CC0D6CB9BF7}">
            <xm:f>AND(IF(P196&lt;'Plan de Accion 2018'!AR63,P196&lt;&gt;"N/A"))</xm:f>
            <x14:dxf>
              <fill>
                <patternFill>
                  <bgColor indexed="10"/>
                </patternFill>
              </fill>
            </x14:dxf>
          </x14:cfRule>
          <xm:sqref>P196</xm:sqref>
        </x14:conditionalFormatting>
        <x14:conditionalFormatting xmlns:xm="http://schemas.microsoft.com/office/excel/2006/main">
          <x14:cfRule type="expression" priority="2100" id="{39F39964-05E4-4E69-B13E-B80B444899A6}">
            <xm:f>AND(IF(P197&gt;'Plan de Accion 2018'!AR71,P197&lt;&gt;¨N/A¨))</xm:f>
            <x14:dxf>
              <fill>
                <patternFill>
                  <bgColor theme="1" tint="0.499984740745262"/>
                </patternFill>
              </fill>
            </x14:dxf>
          </x14:cfRule>
          <x14:cfRule type="expression" priority="2101" stopIfTrue="1" id="{73709994-A0BA-4E1E-A6B5-F0CFC567104B}">
            <xm:f>AND(IF(P197='Plan de Accion 2018'!AR71,P197&lt;&gt;"N/A"))</xm:f>
            <x14:dxf>
              <fill>
                <patternFill>
                  <bgColor rgb="FF00B050"/>
                </patternFill>
              </fill>
            </x14:dxf>
          </x14:cfRule>
          <x14:cfRule type="expression" priority="2102" stopIfTrue="1" id="{14233A59-565B-42C4-9FC8-D33A8E28DF26}">
            <xm:f>AND(IF(P197&lt;'Plan de Accion 2018'!AR71,P197&lt;&gt;"N/A"))</xm:f>
            <x14:dxf>
              <fill>
                <patternFill>
                  <bgColor indexed="10"/>
                </patternFill>
              </fill>
            </x14:dxf>
          </x14:cfRule>
          <xm:sqref>P197</xm:sqref>
        </x14:conditionalFormatting>
        <x14:conditionalFormatting xmlns:xm="http://schemas.microsoft.com/office/excel/2006/main">
          <x14:cfRule type="expression" priority="2097" id="{9AFDBDE2-1A63-4B30-9E1E-C6407DF021A9}">
            <xm:f>AND(IF(P199&gt;'Plan de Accion 2018'!AR79,P199&lt;&gt;¨N/A¨))</xm:f>
            <x14:dxf>
              <fill>
                <patternFill>
                  <bgColor theme="1" tint="0.499984740745262"/>
                </patternFill>
              </fill>
            </x14:dxf>
          </x14:cfRule>
          <x14:cfRule type="expression" priority="2098" stopIfTrue="1" id="{5EC3DE53-5B93-41D5-BFA8-FD558E2371AE}">
            <xm:f>AND(IF(P199='Plan de Accion 2018'!AR79,P199&lt;&gt;"N/A"))</xm:f>
            <x14:dxf>
              <fill>
                <patternFill>
                  <bgColor rgb="FF00B050"/>
                </patternFill>
              </fill>
            </x14:dxf>
          </x14:cfRule>
          <x14:cfRule type="expression" priority="2099" stopIfTrue="1" id="{B63A31A8-CB46-47F2-BB67-CC095816BD5D}">
            <xm:f>AND(IF(P199&lt;'Plan de Accion 2018'!AR79,P199&lt;&gt;"N/A"))</xm:f>
            <x14:dxf>
              <fill>
                <patternFill>
                  <bgColor indexed="10"/>
                </patternFill>
              </fill>
            </x14:dxf>
          </x14:cfRule>
          <xm:sqref>P199</xm:sqref>
        </x14:conditionalFormatting>
        <x14:conditionalFormatting xmlns:xm="http://schemas.microsoft.com/office/excel/2006/main">
          <x14:cfRule type="expression" priority="2094" id="{5FDFA30C-0700-41AB-8DC3-E6F54D505630}">
            <xm:f>AND(IF(P200&gt;'Plan de Accion 2018'!AR83,P200&lt;&gt;¨N/A¨))</xm:f>
            <x14:dxf>
              <fill>
                <patternFill>
                  <bgColor theme="1" tint="0.499984740745262"/>
                </patternFill>
              </fill>
            </x14:dxf>
          </x14:cfRule>
          <x14:cfRule type="expression" priority="2095" stopIfTrue="1" id="{9E7CC71C-74C0-4A49-B41F-53C1E5936BB8}">
            <xm:f>AND(IF(P200='Plan de Accion 2018'!AR83,P200&lt;&gt;"N/A"))</xm:f>
            <x14:dxf>
              <fill>
                <patternFill>
                  <bgColor rgb="FF00B050"/>
                </patternFill>
              </fill>
            </x14:dxf>
          </x14:cfRule>
          <x14:cfRule type="expression" priority="2096" stopIfTrue="1" id="{BFDC89AF-5E8D-4EF8-80AE-32579C06D6D6}">
            <xm:f>AND(IF(P200&lt;'Plan de Accion 2018'!AR83,P200&lt;&gt;"N/A"))</xm:f>
            <x14:dxf>
              <fill>
                <patternFill>
                  <bgColor indexed="10"/>
                </patternFill>
              </fill>
            </x14:dxf>
          </x14:cfRule>
          <xm:sqref>P200:P201</xm:sqref>
        </x14:conditionalFormatting>
        <x14:conditionalFormatting xmlns:xm="http://schemas.microsoft.com/office/excel/2006/main">
          <x14:cfRule type="expression" priority="2088" id="{1E469597-D54D-4C1F-A540-4E1A1520703D}">
            <xm:f>AND(IF(P203&gt;'Plan de Accion 2018'!AR73,P203&lt;&gt;¨N/A¨))</xm:f>
            <x14:dxf>
              <fill>
                <patternFill>
                  <bgColor theme="1" tint="0.499984740745262"/>
                </patternFill>
              </fill>
            </x14:dxf>
          </x14:cfRule>
          <x14:cfRule type="expression" priority="2089" stopIfTrue="1" id="{8A394ED9-E728-426B-8C00-DF058CB85CFD}">
            <xm:f>AND(IF(P203='Plan de Accion 2018'!AR73,P203&lt;&gt;"N/A"))</xm:f>
            <x14:dxf>
              <fill>
                <patternFill>
                  <bgColor rgb="FF00B050"/>
                </patternFill>
              </fill>
            </x14:dxf>
          </x14:cfRule>
          <x14:cfRule type="expression" priority="2090" stopIfTrue="1" id="{5B3B4588-61DE-4B9F-B934-7DEAF195E816}">
            <xm:f>AND(IF(P203&lt;'Plan de Accion 2018'!AR73,P203&lt;&gt;"N/A"))</xm:f>
            <x14:dxf>
              <fill>
                <patternFill>
                  <bgColor indexed="10"/>
                </patternFill>
              </fill>
            </x14:dxf>
          </x14:cfRule>
          <xm:sqref>P203</xm:sqref>
        </x14:conditionalFormatting>
        <x14:conditionalFormatting xmlns:xm="http://schemas.microsoft.com/office/excel/2006/main">
          <x14:cfRule type="expression" priority="2085" id="{9D686B42-A03F-4BDD-A4C0-10B69679EF51}">
            <xm:f>AND(IF(P204&gt;'Plan de Accion 2018'!AR129,P204&lt;&gt;¨N/A¨))</xm:f>
            <x14:dxf>
              <fill>
                <patternFill>
                  <bgColor theme="1" tint="0.499984740745262"/>
                </patternFill>
              </fill>
            </x14:dxf>
          </x14:cfRule>
          <x14:cfRule type="expression" priority="2086" stopIfTrue="1" id="{8CD20252-CA36-4699-86F6-AF5CC2988935}">
            <xm:f>AND(IF(P204='Plan de Accion 2018'!AR129,P204&lt;&gt;"N/A"))</xm:f>
            <x14:dxf>
              <fill>
                <patternFill>
                  <bgColor rgb="FF00B050"/>
                </patternFill>
              </fill>
            </x14:dxf>
          </x14:cfRule>
          <x14:cfRule type="expression" priority="2087" stopIfTrue="1" id="{24B16D58-B293-426C-B2E0-6C48CD859879}">
            <xm:f>AND(IF(P204&lt;'Plan de Accion 2018'!AR129,P204&lt;&gt;"N/A"))</xm:f>
            <x14:dxf>
              <fill>
                <patternFill>
                  <bgColor indexed="10"/>
                </patternFill>
              </fill>
            </x14:dxf>
          </x14:cfRule>
          <xm:sqref>P204:P206</xm:sqref>
        </x14:conditionalFormatting>
        <x14:conditionalFormatting xmlns:xm="http://schemas.microsoft.com/office/excel/2006/main">
          <x14:cfRule type="expression" priority="2070" id="{FA8F870B-7768-430F-A4C2-5F5B5D19B09D}">
            <xm:f>AND(IF(P212&gt;'Plan de Accion 2018'!AR101,P212&lt;&gt;¨N/A¨))</xm:f>
            <x14:dxf>
              <fill>
                <patternFill>
                  <bgColor theme="1" tint="0.499984740745262"/>
                </patternFill>
              </fill>
            </x14:dxf>
          </x14:cfRule>
          <x14:cfRule type="expression" priority="2071" stopIfTrue="1" id="{FCD53F9D-F459-4D8C-8646-80BB2090415A}">
            <xm:f>AND(IF(P212='Plan de Accion 2018'!AR101,P212&lt;&gt;"N/A"))</xm:f>
            <x14:dxf>
              <fill>
                <patternFill>
                  <bgColor rgb="FF00B050"/>
                </patternFill>
              </fill>
            </x14:dxf>
          </x14:cfRule>
          <x14:cfRule type="expression" priority="2072" stopIfTrue="1" id="{11D17B00-2989-4AAC-AE65-9F6772903D6F}">
            <xm:f>AND(IF(P212&lt;'Plan de Accion 2018'!AR101,P212&lt;&gt;"N/A"))</xm:f>
            <x14:dxf>
              <fill>
                <patternFill>
                  <bgColor indexed="10"/>
                </patternFill>
              </fill>
            </x14:dxf>
          </x14:cfRule>
          <xm:sqref>P212:P214</xm:sqref>
        </x14:conditionalFormatting>
        <x14:conditionalFormatting xmlns:xm="http://schemas.microsoft.com/office/excel/2006/main">
          <x14:cfRule type="expression" priority="2052" id="{20D84EE2-B2D5-4E90-B697-9EF29579B609}">
            <xm:f>AND(IF(T18&gt;'Plan de Accion 2018'!BB105,T18&lt;&gt;¨N/A¨))</xm:f>
            <x14:dxf>
              <fill>
                <patternFill>
                  <bgColor theme="1" tint="0.499984740745262"/>
                </patternFill>
              </fill>
            </x14:dxf>
          </x14:cfRule>
          <x14:cfRule type="expression" priority="2053" stopIfTrue="1" id="{DF627123-F72B-4310-92E0-6F626CD39972}">
            <xm:f>AND(IF(T18='Plan de Accion 2018'!BB105,T18&lt;&gt;"N/A"))</xm:f>
            <x14:dxf>
              <fill>
                <patternFill>
                  <bgColor rgb="FF00B050"/>
                </patternFill>
              </fill>
            </x14:dxf>
          </x14:cfRule>
          <x14:cfRule type="expression" priority="2054" stopIfTrue="1" id="{B1B7BE6C-AB32-48B3-AF26-79DCD04EABFE}">
            <xm:f>AND(IF(T18&lt;'Plan de Accion 2018'!BB105,T18&lt;&gt;"N/A"))</xm:f>
            <x14:dxf>
              <fill>
                <patternFill>
                  <bgColor indexed="10"/>
                </patternFill>
              </fill>
            </x14:dxf>
          </x14:cfRule>
          <xm:sqref>T18:T19</xm:sqref>
        </x14:conditionalFormatting>
        <x14:conditionalFormatting xmlns:xm="http://schemas.microsoft.com/office/excel/2006/main">
          <x14:cfRule type="expression" priority="2046" id="{43E12CD1-1B85-4B6D-8419-2AF18B8FB1FE}">
            <xm:f>AND(IF(T20&gt;'Plan de Accion 2018'!BB145,T20&lt;&gt;¨N/A¨))</xm:f>
            <x14:dxf>
              <fill>
                <patternFill>
                  <bgColor theme="1" tint="0.499984740745262"/>
                </patternFill>
              </fill>
            </x14:dxf>
          </x14:cfRule>
          <x14:cfRule type="expression" priority="2047" stopIfTrue="1" id="{A0B20F42-BDC1-4B4B-8FF9-BDE9020A2C94}">
            <xm:f>AND(IF(T20='Plan de Accion 2018'!BB145,T20&lt;&gt;"N/A"))</xm:f>
            <x14:dxf>
              <fill>
                <patternFill>
                  <bgColor rgb="FF00B050"/>
                </patternFill>
              </fill>
            </x14:dxf>
          </x14:cfRule>
          <x14:cfRule type="expression" priority="2048" stopIfTrue="1" id="{7DB5BB64-AD6D-4269-8651-FEB763EA6929}">
            <xm:f>AND(IF(T20&lt;'Plan de Accion 2018'!BB145,T20&lt;&gt;"N/A"))</xm:f>
            <x14:dxf>
              <fill>
                <patternFill>
                  <bgColor indexed="10"/>
                </patternFill>
              </fill>
            </x14:dxf>
          </x14:cfRule>
          <xm:sqref>T20</xm:sqref>
        </x14:conditionalFormatting>
        <x14:conditionalFormatting xmlns:xm="http://schemas.microsoft.com/office/excel/2006/main">
          <x14:cfRule type="expression" priority="2043" id="{4D29586C-CB71-418D-AD3C-7F72B69F7657}">
            <xm:f>AND(IF(T21&gt;'Plan de Accion 2018'!BB103,T21&lt;&gt;¨N/A¨))</xm:f>
            <x14:dxf>
              <fill>
                <patternFill>
                  <bgColor theme="1" tint="0.499984740745262"/>
                </patternFill>
              </fill>
            </x14:dxf>
          </x14:cfRule>
          <x14:cfRule type="expression" priority="2044" stopIfTrue="1" id="{E0E33144-0848-4152-8164-C32048E32DD9}">
            <xm:f>AND(IF(T21='Plan de Accion 2018'!BB103,T21&lt;&gt;"N/A"))</xm:f>
            <x14:dxf>
              <fill>
                <patternFill>
                  <bgColor rgb="FF00B050"/>
                </patternFill>
              </fill>
            </x14:dxf>
          </x14:cfRule>
          <x14:cfRule type="expression" priority="2045" stopIfTrue="1" id="{AEDFE661-7F17-4A35-9F09-957B2F7011FF}">
            <xm:f>AND(IF(T21&lt;'Plan de Accion 2018'!BB103,T21&lt;&gt;"N/A"))</xm:f>
            <x14:dxf>
              <fill>
                <patternFill>
                  <bgColor indexed="10"/>
                </patternFill>
              </fill>
            </x14:dxf>
          </x14:cfRule>
          <xm:sqref>T21</xm:sqref>
        </x14:conditionalFormatting>
        <x14:conditionalFormatting xmlns:xm="http://schemas.microsoft.com/office/excel/2006/main">
          <x14:cfRule type="expression" priority="2040" id="{932BC42F-22AF-4A73-AF18-EDFB13B78127}">
            <xm:f>AND(IF(T22&gt;'Plan de Accion 2018'!BB108,T22&lt;&gt;¨N/A¨))</xm:f>
            <x14:dxf>
              <fill>
                <patternFill>
                  <bgColor theme="1" tint="0.499984740745262"/>
                </patternFill>
              </fill>
            </x14:dxf>
          </x14:cfRule>
          <x14:cfRule type="expression" priority="2041" stopIfTrue="1" id="{28093278-00B3-49ED-A557-C9F0D354E007}">
            <xm:f>AND(IF(T22='Plan de Accion 2018'!BB108,T22&lt;&gt;"N/A"))</xm:f>
            <x14:dxf>
              <fill>
                <patternFill>
                  <bgColor rgb="FF00B050"/>
                </patternFill>
              </fill>
            </x14:dxf>
          </x14:cfRule>
          <x14:cfRule type="expression" priority="2042" stopIfTrue="1" id="{DDB8731F-9637-490F-BCBD-355C5E42120F}">
            <xm:f>AND(IF(T22&lt;'Plan de Accion 2018'!BB108,T22&lt;&gt;"N/A"))</xm:f>
            <x14:dxf>
              <fill>
                <patternFill>
                  <bgColor indexed="10"/>
                </patternFill>
              </fill>
            </x14:dxf>
          </x14:cfRule>
          <xm:sqref>T22:T23</xm:sqref>
        </x14:conditionalFormatting>
        <x14:conditionalFormatting xmlns:xm="http://schemas.microsoft.com/office/excel/2006/main">
          <x14:cfRule type="expression" priority="2034" id="{8A8990B3-40DA-4A1F-9F7A-76082058B2E3}">
            <xm:f>AND(IF(T24&gt;'Plan de Accion 2018'!BB112,T24&lt;&gt;¨N/A¨))</xm:f>
            <x14:dxf>
              <fill>
                <patternFill>
                  <bgColor theme="1" tint="0.499984740745262"/>
                </patternFill>
              </fill>
            </x14:dxf>
          </x14:cfRule>
          <x14:cfRule type="expression" priority="2035" stopIfTrue="1" id="{BCAE20C7-FADB-4CC7-898D-86AB90BD2072}">
            <xm:f>AND(IF(T24='Plan de Accion 2018'!BB112,T24&lt;&gt;"N/A"))</xm:f>
            <x14:dxf>
              <fill>
                <patternFill>
                  <bgColor rgb="FF00B050"/>
                </patternFill>
              </fill>
            </x14:dxf>
          </x14:cfRule>
          <x14:cfRule type="expression" priority="2036" stopIfTrue="1" id="{13466565-A595-4D32-9FD4-CBEA8CA005B4}">
            <xm:f>AND(IF(T24&lt;'Plan de Accion 2018'!BB112,T24&lt;&gt;"N/A"))</xm:f>
            <x14:dxf>
              <fill>
                <patternFill>
                  <bgColor indexed="10"/>
                </patternFill>
              </fill>
            </x14:dxf>
          </x14:cfRule>
          <xm:sqref>T24</xm:sqref>
        </x14:conditionalFormatting>
        <x14:conditionalFormatting xmlns:xm="http://schemas.microsoft.com/office/excel/2006/main">
          <x14:cfRule type="expression" priority="2019" id="{EF91FFB7-73FE-4E00-A85C-9930A2E457B8}">
            <xm:f>AND(IF(T30&gt;'Plan de Accion 2018'!BB110,T30&lt;&gt;¨N/A¨))</xm:f>
            <x14:dxf>
              <fill>
                <patternFill>
                  <bgColor theme="1" tint="0.499984740745262"/>
                </patternFill>
              </fill>
            </x14:dxf>
          </x14:cfRule>
          <x14:cfRule type="expression" priority="2020" stopIfTrue="1" id="{E660BA31-4813-4C7E-989E-6563B904DEBE}">
            <xm:f>AND(IF(T30='Plan de Accion 2018'!BB110,T30&lt;&gt;"N/A"))</xm:f>
            <x14:dxf>
              <fill>
                <patternFill>
                  <bgColor rgb="FF00B050"/>
                </patternFill>
              </fill>
            </x14:dxf>
          </x14:cfRule>
          <x14:cfRule type="expression" priority="2021" stopIfTrue="1" id="{5F36C6BC-55DB-447A-A65C-7B808C15CBCA}">
            <xm:f>AND(IF(T30&lt;'Plan de Accion 2018'!BB110,T30&lt;&gt;"N/A"))</xm:f>
            <x14:dxf>
              <fill>
                <patternFill>
                  <bgColor indexed="10"/>
                </patternFill>
              </fill>
            </x14:dxf>
          </x14:cfRule>
          <xm:sqref>T30:T31 T33</xm:sqref>
        </x14:conditionalFormatting>
        <x14:conditionalFormatting xmlns:xm="http://schemas.microsoft.com/office/excel/2006/main">
          <x14:cfRule type="expression" priority="2007" id="{2837BB7E-420C-49ED-B9A1-CBA32BD07DFA}">
            <xm:f>AND(IF(T34&gt;'Plan de Accion 2018'!BB9,T34&lt;&gt;¨N/A¨))</xm:f>
            <x14:dxf>
              <fill>
                <patternFill>
                  <bgColor theme="1" tint="0.499984740745262"/>
                </patternFill>
              </fill>
            </x14:dxf>
          </x14:cfRule>
          <x14:cfRule type="expression" priority="2008" stopIfTrue="1" id="{D13AEA9A-B98C-4254-9E17-6D08574C0136}">
            <xm:f>AND(IF(T34='Plan de Accion 2018'!BB9,T34&lt;&gt;"N/A"))</xm:f>
            <x14:dxf>
              <fill>
                <patternFill>
                  <bgColor rgb="FF00B050"/>
                </patternFill>
              </fill>
            </x14:dxf>
          </x14:cfRule>
          <x14:cfRule type="expression" priority="2009" stopIfTrue="1" id="{1D4B924E-9FC7-4DAC-AFD8-08653AAD98CF}">
            <xm:f>AND(IF(T34&lt;'Plan de Accion 2018'!BB9,T34&lt;&gt;"N/A"))</xm:f>
            <x14:dxf>
              <fill>
                <patternFill>
                  <bgColor indexed="10"/>
                </patternFill>
              </fill>
            </x14:dxf>
          </x14:cfRule>
          <xm:sqref>T34 T150:T153</xm:sqref>
        </x14:conditionalFormatting>
        <x14:conditionalFormatting xmlns:xm="http://schemas.microsoft.com/office/excel/2006/main">
          <x14:cfRule type="expression" priority="2001" id="{A5B72F2B-F1F0-4BF0-A4CF-C2A53293F2B5}">
            <xm:f>AND(IF(T35&gt;'Plan de Accion 2018'!BB142,T35&lt;&gt;¨N/A¨))</xm:f>
            <x14:dxf>
              <fill>
                <patternFill>
                  <bgColor theme="1" tint="0.499984740745262"/>
                </patternFill>
              </fill>
            </x14:dxf>
          </x14:cfRule>
          <x14:cfRule type="expression" priority="2002" stopIfTrue="1" id="{2B535A83-EE66-4896-B871-01E3801CD721}">
            <xm:f>AND(IF(T35='Plan de Accion 2018'!BB142,T35&lt;&gt;"N/A"))</xm:f>
            <x14:dxf>
              <fill>
                <patternFill>
                  <bgColor rgb="FF00B050"/>
                </patternFill>
              </fill>
            </x14:dxf>
          </x14:cfRule>
          <x14:cfRule type="expression" priority="2003" stopIfTrue="1" id="{167D038F-4ACB-4583-A8BA-A78B28C10F87}">
            <xm:f>AND(IF(T35&lt;'Plan de Accion 2018'!BB142,T35&lt;&gt;"N/A"))</xm:f>
            <x14:dxf>
              <fill>
                <patternFill>
                  <bgColor indexed="10"/>
                </patternFill>
              </fill>
            </x14:dxf>
          </x14:cfRule>
          <xm:sqref>T35</xm:sqref>
        </x14:conditionalFormatting>
        <x14:conditionalFormatting xmlns:xm="http://schemas.microsoft.com/office/excel/2006/main">
          <x14:cfRule type="expression" priority="1926" id="{2EC01AA9-18E7-4713-844C-C138CD3CC750}">
            <xm:f>AND(IF(T37&gt;'Plan de Accion 2018'!BB15,T37&lt;&gt;¨N/A¨))</xm:f>
            <x14:dxf>
              <fill>
                <patternFill>
                  <bgColor theme="1" tint="0.499984740745262"/>
                </patternFill>
              </fill>
            </x14:dxf>
          </x14:cfRule>
          <x14:cfRule type="expression" priority="1927" stopIfTrue="1" id="{A5BA991E-B542-4B17-B359-415EC248DC6B}">
            <xm:f>AND(IF(T37='Plan de Accion 2018'!BB15,T37&lt;&gt;"N/A"))</xm:f>
            <x14:dxf>
              <fill>
                <patternFill>
                  <bgColor rgb="FF00B050"/>
                </patternFill>
              </fill>
            </x14:dxf>
          </x14:cfRule>
          <x14:cfRule type="expression" priority="1928" stopIfTrue="1" id="{4DCAA399-3F92-4452-998A-37E2B7F58234}">
            <xm:f>AND(IF(T37&lt;'Plan de Accion 2018'!BB15,T37&lt;&gt;"N/A"))</xm:f>
            <x14:dxf>
              <fill>
                <patternFill>
                  <bgColor indexed="10"/>
                </patternFill>
              </fill>
            </x14:dxf>
          </x14:cfRule>
          <xm:sqref>T154:T156 T37:T59</xm:sqref>
        </x14:conditionalFormatting>
        <x14:conditionalFormatting xmlns:xm="http://schemas.microsoft.com/office/excel/2006/main">
          <x14:cfRule type="expression" priority="1917" id="{E171D575-4916-46E8-9CED-4E91E080EEC6}">
            <xm:f>AND(IF(T65&gt;'Plan de Accion 2018'!BB80,T65&lt;&gt;¨N/A¨))</xm:f>
            <x14:dxf>
              <fill>
                <patternFill>
                  <bgColor theme="1" tint="0.499984740745262"/>
                </patternFill>
              </fill>
            </x14:dxf>
          </x14:cfRule>
          <x14:cfRule type="expression" priority="1918" stopIfTrue="1" id="{2901BD21-3A4D-487B-9740-516ED0B78149}">
            <xm:f>AND(IF(T65='Plan de Accion 2018'!BB80,T65&lt;&gt;"N/A"))</xm:f>
            <x14:dxf>
              <fill>
                <patternFill>
                  <bgColor rgb="FF00B050"/>
                </patternFill>
              </fill>
            </x14:dxf>
          </x14:cfRule>
          <x14:cfRule type="expression" priority="1919" stopIfTrue="1" id="{2320B366-CCC8-4A6E-A914-F9472073C436}">
            <xm:f>AND(IF(T65&lt;'Plan de Accion 2018'!BB80,T65&lt;&gt;"N/A"))</xm:f>
            <x14:dxf>
              <fill>
                <patternFill>
                  <bgColor indexed="10"/>
                </patternFill>
              </fill>
            </x14:dxf>
          </x14:cfRule>
          <xm:sqref>T65:T67</xm:sqref>
        </x14:conditionalFormatting>
        <x14:conditionalFormatting xmlns:xm="http://schemas.microsoft.com/office/excel/2006/main">
          <x14:cfRule type="expression" priority="1908" id="{9B86AB74-0907-4D85-B5E4-865F5E0AA4C0}">
            <xm:f>AND(IF(T68&gt;'Plan de Accion 2018'!BB85,T68&lt;&gt;¨N/A¨))</xm:f>
            <x14:dxf>
              <fill>
                <patternFill>
                  <bgColor theme="1" tint="0.499984740745262"/>
                </patternFill>
              </fill>
            </x14:dxf>
          </x14:cfRule>
          <x14:cfRule type="expression" priority="1909" stopIfTrue="1" id="{2AA8E3A4-7915-4B2A-A468-07EA1237DF57}">
            <xm:f>AND(IF(T68='Plan de Accion 2018'!BB85,T68&lt;&gt;"N/A"))</xm:f>
            <x14:dxf>
              <fill>
                <patternFill>
                  <bgColor rgb="FF00B050"/>
                </patternFill>
              </fill>
            </x14:dxf>
          </x14:cfRule>
          <x14:cfRule type="expression" priority="1910" stopIfTrue="1" id="{5A967D02-C6D6-498C-97AC-F381A0AD8721}">
            <xm:f>AND(IF(T68&lt;'Plan de Accion 2018'!BB85,T68&lt;&gt;"N/A"))</xm:f>
            <x14:dxf>
              <fill>
                <patternFill>
                  <bgColor indexed="10"/>
                </patternFill>
              </fill>
            </x14:dxf>
          </x14:cfRule>
          <xm:sqref>T68:T71</xm:sqref>
        </x14:conditionalFormatting>
        <x14:conditionalFormatting xmlns:xm="http://schemas.microsoft.com/office/excel/2006/main">
          <x14:cfRule type="expression" priority="1896" id="{F09C6FF2-96CA-4B92-AE8B-5B29E6BDA046}">
            <xm:f>AND(IF(T72&gt;'Plan de Accion 2018'!BB83,T72&lt;&gt;¨N/A¨))</xm:f>
            <x14:dxf>
              <fill>
                <patternFill>
                  <bgColor theme="1" tint="0.499984740745262"/>
                </patternFill>
              </fill>
            </x14:dxf>
          </x14:cfRule>
          <x14:cfRule type="expression" priority="1897" stopIfTrue="1" id="{B3AA813A-56BA-4A22-805A-2504BD1BED2D}">
            <xm:f>AND(IF(T72='Plan de Accion 2018'!BB83,T72&lt;&gt;"N/A"))</xm:f>
            <x14:dxf>
              <fill>
                <patternFill>
                  <bgColor rgb="FF00B050"/>
                </patternFill>
              </fill>
            </x14:dxf>
          </x14:cfRule>
          <x14:cfRule type="expression" priority="1898" stopIfTrue="1" id="{435456D3-AFDD-41D9-93A9-D3194211FDAC}">
            <xm:f>AND(IF(T72&lt;'Plan de Accion 2018'!BB83,T72&lt;&gt;"N/A"))</xm:f>
            <x14:dxf>
              <fill>
                <patternFill>
                  <bgColor indexed="10"/>
                </patternFill>
              </fill>
            </x14:dxf>
          </x14:cfRule>
          <xm:sqref>T72:T73</xm:sqref>
        </x14:conditionalFormatting>
        <x14:conditionalFormatting xmlns:xm="http://schemas.microsoft.com/office/excel/2006/main">
          <x14:cfRule type="expression" priority="1884" id="{9A6F7F1C-8C66-4D8D-98C2-C49B449EE471}">
            <xm:f>AND(IF(T79&gt;'Plan de Accion 2018'!BB138,T79&lt;&gt;¨N/A¨))</xm:f>
            <x14:dxf>
              <fill>
                <patternFill>
                  <bgColor theme="1" tint="0.499984740745262"/>
                </patternFill>
              </fill>
            </x14:dxf>
          </x14:cfRule>
          <x14:cfRule type="expression" priority="1885" stopIfTrue="1" id="{42FF941A-019E-4B5E-A04E-92BFA72B2614}">
            <xm:f>AND(IF(T79='Plan de Accion 2018'!BB138,T79&lt;&gt;"N/A"))</xm:f>
            <x14:dxf>
              <fill>
                <patternFill>
                  <bgColor rgb="FF00B050"/>
                </patternFill>
              </fill>
            </x14:dxf>
          </x14:cfRule>
          <x14:cfRule type="expression" priority="1886" stopIfTrue="1" id="{9B34089B-C1F8-4695-896B-AEF4F26D7B63}">
            <xm:f>AND(IF(T79&lt;'Plan de Accion 2018'!BB138,T79&lt;&gt;"N/A"))</xm:f>
            <x14:dxf>
              <fill>
                <patternFill>
                  <bgColor indexed="10"/>
                </patternFill>
              </fill>
            </x14:dxf>
          </x14:cfRule>
          <xm:sqref>T79</xm:sqref>
        </x14:conditionalFormatting>
        <x14:conditionalFormatting xmlns:xm="http://schemas.microsoft.com/office/excel/2006/main">
          <x14:cfRule type="expression" priority="1878" id="{540EA212-494B-4E38-AE8A-4300C4437491}">
            <xm:f>AND(IF(T80&gt;'Plan de Accion 2018'!BB147,T80&lt;&gt;¨N/A¨))</xm:f>
            <x14:dxf>
              <fill>
                <patternFill>
                  <bgColor theme="1" tint="0.499984740745262"/>
                </patternFill>
              </fill>
            </x14:dxf>
          </x14:cfRule>
          <x14:cfRule type="expression" priority="1879" stopIfTrue="1" id="{EA466755-9953-499F-B967-CCA99FB004BC}">
            <xm:f>AND(IF(T80='Plan de Accion 2018'!BB147,T80&lt;&gt;"N/A"))</xm:f>
            <x14:dxf>
              <fill>
                <patternFill>
                  <bgColor rgb="FF00B050"/>
                </patternFill>
              </fill>
            </x14:dxf>
          </x14:cfRule>
          <x14:cfRule type="expression" priority="1880" stopIfTrue="1" id="{949FF891-CCF2-4C27-816F-6606D37CEEC3}">
            <xm:f>AND(IF(T80&lt;'Plan de Accion 2018'!BB147,T80&lt;&gt;"N/A"))</xm:f>
            <x14:dxf>
              <fill>
                <patternFill>
                  <bgColor indexed="10"/>
                </patternFill>
              </fill>
            </x14:dxf>
          </x14:cfRule>
          <xm:sqref>T80</xm:sqref>
        </x14:conditionalFormatting>
        <x14:conditionalFormatting xmlns:xm="http://schemas.microsoft.com/office/excel/2006/main">
          <x14:cfRule type="expression" priority="1875" id="{7CF30F22-EEB2-4DF7-86CC-4BAC39D15B4F}">
            <xm:f>AND(IF(T81&gt;'Plan de Accion 2018'!BB149,T81&lt;&gt;¨N/A¨))</xm:f>
            <x14:dxf>
              <fill>
                <patternFill>
                  <bgColor theme="1" tint="0.499984740745262"/>
                </patternFill>
              </fill>
            </x14:dxf>
          </x14:cfRule>
          <x14:cfRule type="expression" priority="1876" stopIfTrue="1" id="{3F6BF28B-F5C1-44E5-B06A-E9AD1501B96D}">
            <xm:f>AND(IF(T81='Plan de Accion 2018'!BB149,T81&lt;&gt;"N/A"))</xm:f>
            <x14:dxf>
              <fill>
                <patternFill>
                  <bgColor rgb="FF00B050"/>
                </patternFill>
              </fill>
            </x14:dxf>
          </x14:cfRule>
          <x14:cfRule type="expression" priority="1877" stopIfTrue="1" id="{A4331090-5CE7-4C23-A710-52265AC79352}">
            <xm:f>AND(IF(T81&lt;'Plan de Accion 2018'!BB149,T81&lt;&gt;"N/A"))</xm:f>
            <x14:dxf>
              <fill>
                <patternFill>
                  <bgColor indexed="10"/>
                </patternFill>
              </fill>
            </x14:dxf>
          </x14:cfRule>
          <xm:sqref>T81</xm:sqref>
        </x14:conditionalFormatting>
        <x14:conditionalFormatting xmlns:xm="http://schemas.microsoft.com/office/excel/2006/main">
          <x14:cfRule type="expression" priority="1872" id="{D5D5755F-68F2-48FF-95BC-ACD825924274}">
            <xm:f>AND(IF(T82&gt;'Plan de Accion 2018'!BB125,T82&lt;&gt;¨N/A¨))</xm:f>
            <x14:dxf>
              <fill>
                <patternFill>
                  <bgColor theme="1" tint="0.499984740745262"/>
                </patternFill>
              </fill>
            </x14:dxf>
          </x14:cfRule>
          <x14:cfRule type="expression" priority="1873" stopIfTrue="1" id="{189C78F4-BCF8-447C-9EDA-1903EA1BE458}">
            <xm:f>AND(IF(T82='Plan de Accion 2018'!BB125,T82&lt;&gt;"N/A"))</xm:f>
            <x14:dxf>
              <fill>
                <patternFill>
                  <bgColor rgb="FF00B050"/>
                </patternFill>
              </fill>
            </x14:dxf>
          </x14:cfRule>
          <x14:cfRule type="expression" priority="1874" stopIfTrue="1" id="{270E8914-F7A9-4B25-9DC1-B48080DB7DA1}">
            <xm:f>AND(IF(T82&lt;'Plan de Accion 2018'!BB125,T82&lt;&gt;"N/A"))</xm:f>
            <x14:dxf>
              <fill>
                <patternFill>
                  <bgColor indexed="10"/>
                </patternFill>
              </fill>
            </x14:dxf>
          </x14:cfRule>
          <xm:sqref>T82:T83 T87</xm:sqref>
        </x14:conditionalFormatting>
        <x14:conditionalFormatting xmlns:xm="http://schemas.microsoft.com/office/excel/2006/main">
          <x14:cfRule type="expression" priority="1866" id="{43CB3B66-0B6F-4761-9CDB-4B10CF1C8AAE}">
            <xm:f>AND(IF(T88&gt;'Plan de Accion 2018'!BB132,T88&lt;&gt;¨N/A¨))</xm:f>
            <x14:dxf>
              <fill>
                <patternFill>
                  <bgColor theme="1" tint="0.499984740745262"/>
                </patternFill>
              </fill>
            </x14:dxf>
          </x14:cfRule>
          <x14:cfRule type="expression" priority="1867" stopIfTrue="1" id="{554B9490-8BFA-4768-A6E2-3B948446AB09}">
            <xm:f>AND(IF(T88='Plan de Accion 2018'!BB132,T88&lt;&gt;"N/A"))</xm:f>
            <x14:dxf>
              <fill>
                <patternFill>
                  <bgColor rgb="FF00B050"/>
                </patternFill>
              </fill>
            </x14:dxf>
          </x14:cfRule>
          <x14:cfRule type="expression" priority="1868" stopIfTrue="1" id="{AFFE676B-4C5C-4F02-8780-3DEE1BA9A295}">
            <xm:f>AND(IF(T88&lt;'Plan de Accion 2018'!BB132,T88&lt;&gt;"N/A"))</xm:f>
            <x14:dxf>
              <fill>
                <patternFill>
                  <bgColor indexed="10"/>
                </patternFill>
              </fill>
            </x14:dxf>
          </x14:cfRule>
          <xm:sqref>T91 T88</xm:sqref>
        </x14:conditionalFormatting>
        <x14:conditionalFormatting xmlns:xm="http://schemas.microsoft.com/office/excel/2006/main">
          <x14:cfRule type="expression" priority="1860" id="{E175395C-0823-4BAF-960C-501F3DF051BA}">
            <xm:f>AND(IF(T92&gt;'Plan de Accion 2018'!BB139,T92&lt;&gt;¨N/A¨))</xm:f>
            <x14:dxf>
              <fill>
                <patternFill>
                  <bgColor theme="1" tint="0.499984740745262"/>
                </patternFill>
              </fill>
            </x14:dxf>
          </x14:cfRule>
          <x14:cfRule type="expression" priority="1861" stopIfTrue="1" id="{51626130-7ACD-45D9-9C4A-B261B1AFB2D7}">
            <xm:f>AND(IF(T92='Plan de Accion 2018'!BB139,T92&lt;&gt;"N/A"))</xm:f>
            <x14:dxf>
              <fill>
                <patternFill>
                  <bgColor rgb="FF00B050"/>
                </patternFill>
              </fill>
            </x14:dxf>
          </x14:cfRule>
          <x14:cfRule type="expression" priority="1862" stopIfTrue="1" id="{D6ACAD17-37F7-4651-95B0-83D27B414808}">
            <xm:f>AND(IF(T92&lt;'Plan de Accion 2018'!BB139,T92&lt;&gt;"N/A"))</xm:f>
            <x14:dxf>
              <fill>
                <patternFill>
                  <bgColor indexed="10"/>
                </patternFill>
              </fill>
            </x14:dxf>
          </x14:cfRule>
          <xm:sqref>T92</xm:sqref>
        </x14:conditionalFormatting>
        <x14:conditionalFormatting xmlns:xm="http://schemas.microsoft.com/office/excel/2006/main">
          <x14:cfRule type="expression" priority="1857" id="{D21822B9-11BE-45BA-A568-CE7248CF65F6}">
            <xm:f>AND(IF(T93&gt;'Plan de Accion 2018'!BB154,T93&lt;&gt;¨N/A¨))</xm:f>
            <x14:dxf>
              <fill>
                <patternFill>
                  <bgColor theme="1" tint="0.499984740745262"/>
                </patternFill>
              </fill>
            </x14:dxf>
          </x14:cfRule>
          <x14:cfRule type="expression" priority="1858" stopIfTrue="1" id="{0A821F0F-C72D-4F0A-A250-223F0B9E951B}">
            <xm:f>AND(IF(T93='Plan de Accion 2018'!BB154,T93&lt;&gt;"N/A"))</xm:f>
            <x14:dxf>
              <fill>
                <patternFill>
                  <bgColor rgb="FF00B050"/>
                </patternFill>
              </fill>
            </x14:dxf>
          </x14:cfRule>
          <x14:cfRule type="expression" priority="1859" stopIfTrue="1" id="{D044250D-4D93-4F22-8220-68AAA9C4431F}">
            <xm:f>AND(IF(T93&lt;'Plan de Accion 2018'!BB154,T93&lt;&gt;"N/A"))</xm:f>
            <x14:dxf>
              <fill>
                <patternFill>
                  <bgColor indexed="10"/>
                </patternFill>
              </fill>
            </x14:dxf>
          </x14:cfRule>
          <xm:sqref>T93</xm:sqref>
        </x14:conditionalFormatting>
        <x14:conditionalFormatting xmlns:xm="http://schemas.microsoft.com/office/excel/2006/main">
          <x14:cfRule type="expression" priority="1854" id="{6E1D04E1-2C78-4608-9673-B7A426C56749}">
            <xm:f>AND(IF(T60&gt;'Plan de Accion 2018'!BB40,T60&lt;&gt;¨N/A¨))</xm:f>
            <x14:dxf>
              <fill>
                <patternFill>
                  <bgColor theme="1" tint="0.499984740745262"/>
                </patternFill>
              </fill>
            </x14:dxf>
          </x14:cfRule>
          <x14:cfRule type="expression" priority="1855" stopIfTrue="1" id="{05354935-4351-4328-9AC3-CD3C7B3277AD}">
            <xm:f>AND(IF(T60='Plan de Accion 2018'!BB40,T60&lt;&gt;"N/A"))</xm:f>
            <x14:dxf>
              <fill>
                <patternFill>
                  <bgColor rgb="FF00B050"/>
                </patternFill>
              </fill>
            </x14:dxf>
          </x14:cfRule>
          <x14:cfRule type="expression" priority="1856" stopIfTrue="1" id="{E1D9787B-9993-4508-BABB-E97010597B51}">
            <xm:f>AND(IF(T60&lt;'Plan de Accion 2018'!BB40,T60&lt;&gt;"N/A"))</xm:f>
            <x14:dxf>
              <fill>
                <patternFill>
                  <bgColor indexed="10"/>
                </patternFill>
              </fill>
            </x14:dxf>
          </x14:cfRule>
          <xm:sqref>T157 T60:T62</xm:sqref>
        </x14:conditionalFormatting>
        <x14:conditionalFormatting xmlns:xm="http://schemas.microsoft.com/office/excel/2006/main">
          <x14:cfRule type="expression" priority="1851" id="{6D896BDB-6D5B-4222-93E6-E0259719579B}">
            <xm:f>AND(IF(T169&gt;'Plan de Accion 2018'!BB122,T169&lt;&gt;¨N/A¨))</xm:f>
            <x14:dxf>
              <fill>
                <patternFill>
                  <bgColor theme="1" tint="0.499984740745262"/>
                </patternFill>
              </fill>
            </x14:dxf>
          </x14:cfRule>
          <x14:cfRule type="expression" priority="1852" stopIfTrue="1" id="{2CA64479-C4F8-459E-9FDD-2B5B5F34A102}">
            <xm:f>AND(IF(T169='Plan de Accion 2018'!BB122,T169&lt;&gt;"N/A"))</xm:f>
            <x14:dxf>
              <fill>
                <patternFill>
                  <bgColor rgb="FF00B050"/>
                </patternFill>
              </fill>
            </x14:dxf>
          </x14:cfRule>
          <x14:cfRule type="expression" priority="1853" stopIfTrue="1" id="{2121FBCC-C566-4579-BB83-8963027BF904}">
            <xm:f>AND(IF(T169&lt;'Plan de Accion 2018'!BB122,T169&lt;&gt;"N/A"))</xm:f>
            <x14:dxf>
              <fill>
                <patternFill>
                  <bgColor indexed="10"/>
                </patternFill>
              </fill>
            </x14:dxf>
          </x14:cfRule>
          <xm:sqref>T169</xm:sqref>
        </x14:conditionalFormatting>
        <x14:conditionalFormatting xmlns:xm="http://schemas.microsoft.com/office/excel/2006/main">
          <x14:cfRule type="expression" priority="1848" id="{39C31298-ABB6-4768-8024-9B7ECC712D22}">
            <xm:f>AND(IF(T98&gt;'Plan de Accion 2018'!BB53,T98&lt;&gt;¨N/A¨))</xm:f>
            <x14:dxf>
              <fill>
                <patternFill>
                  <bgColor theme="1" tint="0.499984740745262"/>
                </patternFill>
              </fill>
            </x14:dxf>
          </x14:cfRule>
          <x14:cfRule type="expression" priority="1849" stopIfTrue="1" id="{E8068A5C-54A3-47DB-BF80-834F9D92D8C9}">
            <xm:f>AND(IF(T98='Plan de Accion 2018'!BB53,T98&lt;&gt;"N/A"))</xm:f>
            <x14:dxf>
              <fill>
                <patternFill>
                  <bgColor rgb="FF00B050"/>
                </patternFill>
              </fill>
            </x14:dxf>
          </x14:cfRule>
          <x14:cfRule type="expression" priority="1850" stopIfTrue="1" id="{E0832979-7FDC-4D84-BF3A-4F6DF461BAB5}">
            <xm:f>AND(IF(T98&lt;'Plan de Accion 2018'!BB53,T98&lt;&gt;"N/A"))</xm:f>
            <x14:dxf>
              <fill>
                <patternFill>
                  <bgColor indexed="10"/>
                </patternFill>
              </fill>
            </x14:dxf>
          </x14:cfRule>
          <xm:sqref>T98</xm:sqref>
        </x14:conditionalFormatting>
        <x14:conditionalFormatting xmlns:xm="http://schemas.microsoft.com/office/excel/2006/main">
          <x14:cfRule type="expression" priority="1842" id="{0DE65955-29D3-467E-9D7E-461E0D1F6796}">
            <xm:f>AND(IF(T99&gt;'Plan de Accion 2018'!BB63,T99&lt;&gt;¨N/A¨))</xm:f>
            <x14:dxf>
              <fill>
                <patternFill>
                  <bgColor theme="1" tint="0.499984740745262"/>
                </patternFill>
              </fill>
            </x14:dxf>
          </x14:cfRule>
          <x14:cfRule type="expression" priority="1843" stopIfTrue="1" id="{8591A951-24EA-452A-9E87-65F197BFDAAB}">
            <xm:f>AND(IF(T99='Plan de Accion 2018'!BB63,T99&lt;&gt;"N/A"))</xm:f>
            <x14:dxf>
              <fill>
                <patternFill>
                  <bgColor rgb="FF00B050"/>
                </patternFill>
              </fill>
            </x14:dxf>
          </x14:cfRule>
          <x14:cfRule type="expression" priority="1844" stopIfTrue="1" id="{7A9B458C-E1E5-488A-8D6D-C27A5A025779}">
            <xm:f>AND(IF(T99&lt;'Plan de Accion 2018'!BB63,T99&lt;&gt;"N/A"))</xm:f>
            <x14:dxf>
              <fill>
                <patternFill>
                  <bgColor indexed="10"/>
                </patternFill>
              </fill>
            </x14:dxf>
          </x14:cfRule>
          <xm:sqref>T99:T100</xm:sqref>
        </x14:conditionalFormatting>
        <x14:conditionalFormatting xmlns:xm="http://schemas.microsoft.com/office/excel/2006/main">
          <x14:cfRule type="expression" priority="1839" id="{71292F6E-594F-4C37-ADC9-7107232E8298}">
            <xm:f>AND(IF(T170&gt;'Plan de Accion 2018'!BB140,T170&lt;&gt;¨N/A¨))</xm:f>
            <x14:dxf>
              <fill>
                <patternFill>
                  <bgColor theme="1" tint="0.499984740745262"/>
                </patternFill>
              </fill>
            </x14:dxf>
          </x14:cfRule>
          <x14:cfRule type="expression" priority="1840" stopIfTrue="1" id="{CC32B93C-AF80-47FA-8FC5-8A1D2542E087}">
            <xm:f>AND(IF(T170='Plan de Accion 2018'!BB140,T170&lt;&gt;"N/A"))</xm:f>
            <x14:dxf>
              <fill>
                <patternFill>
                  <bgColor rgb="FF00B050"/>
                </patternFill>
              </fill>
            </x14:dxf>
          </x14:cfRule>
          <x14:cfRule type="expression" priority="1841" stopIfTrue="1" id="{CD33AF43-55A7-4B2C-AFA5-7F6CD1309980}">
            <xm:f>AND(IF(T170&lt;'Plan de Accion 2018'!BB140,T170&lt;&gt;"N/A"))</xm:f>
            <x14:dxf>
              <fill>
                <patternFill>
                  <bgColor indexed="10"/>
                </patternFill>
              </fill>
            </x14:dxf>
          </x14:cfRule>
          <xm:sqref>T170</xm:sqref>
        </x14:conditionalFormatting>
        <x14:conditionalFormatting xmlns:xm="http://schemas.microsoft.com/office/excel/2006/main">
          <x14:cfRule type="expression" priority="1830" id="{F7DF0E2D-3A25-43C6-BCB8-52C8454E2459}">
            <xm:f>AND(IF(T105&gt;'Plan de Accion 2018'!BB95,T105&lt;&gt;¨N/A¨))</xm:f>
            <x14:dxf>
              <fill>
                <patternFill>
                  <bgColor theme="1" tint="0.499984740745262"/>
                </patternFill>
              </fill>
            </x14:dxf>
          </x14:cfRule>
          <x14:cfRule type="expression" priority="1831" stopIfTrue="1" id="{0B0D2FE2-C739-4FC8-9566-11E0A4A60F44}">
            <xm:f>AND(IF(T105='Plan de Accion 2018'!BB95,T105&lt;&gt;"N/A"))</xm:f>
            <x14:dxf>
              <fill>
                <patternFill>
                  <bgColor rgb="FF00B050"/>
                </patternFill>
              </fill>
            </x14:dxf>
          </x14:cfRule>
          <x14:cfRule type="expression" priority="1832" stopIfTrue="1" id="{20DBA972-7103-49E5-8004-ABA88228EA64}">
            <xm:f>AND(IF(T105&lt;'Plan de Accion 2018'!BB95,T105&lt;&gt;"N/A"))</xm:f>
            <x14:dxf>
              <fill>
                <patternFill>
                  <bgColor indexed="10"/>
                </patternFill>
              </fill>
            </x14:dxf>
          </x14:cfRule>
          <xm:sqref>T105:T109</xm:sqref>
        </x14:conditionalFormatting>
        <x14:conditionalFormatting xmlns:xm="http://schemas.microsoft.com/office/excel/2006/main">
          <x14:cfRule type="expression" priority="1818" id="{9F41F7FF-FB81-46DF-A8B3-BA07A5D3D91B}">
            <xm:f>AND(IF(T110&gt;'Plan de Accion 2018'!BB107,T110&lt;&gt;¨N/A¨))</xm:f>
            <x14:dxf>
              <fill>
                <patternFill>
                  <bgColor theme="1" tint="0.499984740745262"/>
                </patternFill>
              </fill>
            </x14:dxf>
          </x14:cfRule>
          <x14:cfRule type="expression" priority="1819" stopIfTrue="1" id="{94A4C78C-DC3F-4E02-82E0-A4E767E81879}">
            <xm:f>AND(IF(T110='Plan de Accion 2018'!BB107,T110&lt;&gt;"N/A"))</xm:f>
            <x14:dxf>
              <fill>
                <patternFill>
                  <bgColor rgb="FF00B050"/>
                </patternFill>
              </fill>
            </x14:dxf>
          </x14:cfRule>
          <x14:cfRule type="expression" priority="1820" stopIfTrue="1" id="{0961B44B-355A-4105-BC91-4038A68F9E0E}">
            <xm:f>AND(IF(T110&lt;'Plan de Accion 2018'!BB107,T110&lt;&gt;"N/A"))</xm:f>
            <x14:dxf>
              <fill>
                <patternFill>
                  <bgColor indexed="10"/>
                </patternFill>
              </fill>
            </x14:dxf>
          </x14:cfRule>
          <xm:sqref>T110</xm:sqref>
        </x14:conditionalFormatting>
        <x14:conditionalFormatting xmlns:xm="http://schemas.microsoft.com/office/excel/2006/main">
          <x14:cfRule type="expression" priority="1815" id="{40076A7D-CA5C-4159-877E-634E6555E680}">
            <xm:f>AND(IF(T111&gt;'Plan de Accion 2018'!BB111,T111&lt;&gt;¨N/A¨))</xm:f>
            <x14:dxf>
              <fill>
                <patternFill>
                  <bgColor theme="1" tint="0.499984740745262"/>
                </patternFill>
              </fill>
            </x14:dxf>
          </x14:cfRule>
          <x14:cfRule type="expression" priority="1816" stopIfTrue="1" id="{B31C4DF1-9E29-42C1-9060-8EA067E65311}">
            <xm:f>AND(IF(T111='Plan de Accion 2018'!BB111,T111&lt;&gt;"N/A"))</xm:f>
            <x14:dxf>
              <fill>
                <patternFill>
                  <bgColor rgb="FF00B050"/>
                </patternFill>
              </fill>
            </x14:dxf>
          </x14:cfRule>
          <x14:cfRule type="expression" priority="1817" stopIfTrue="1" id="{9F7CF4AC-8840-4D5C-8B89-BE5708F904E0}">
            <xm:f>AND(IF(T111&lt;'Plan de Accion 2018'!BB111,T111&lt;&gt;"N/A"))</xm:f>
            <x14:dxf>
              <fill>
                <patternFill>
                  <bgColor indexed="10"/>
                </patternFill>
              </fill>
            </x14:dxf>
          </x14:cfRule>
          <xm:sqref>T111</xm:sqref>
        </x14:conditionalFormatting>
        <x14:conditionalFormatting xmlns:xm="http://schemas.microsoft.com/office/excel/2006/main">
          <x14:cfRule type="expression" priority="1812" id="{5073F1AF-3CD9-4F21-8B84-D3DD5F5D1943}">
            <xm:f>AND(IF(T179&gt;'Plan de Accion 2018'!BB77,T179&lt;&gt;¨N/A¨))</xm:f>
            <x14:dxf>
              <fill>
                <patternFill>
                  <bgColor theme="1" tint="0.499984740745262"/>
                </patternFill>
              </fill>
            </x14:dxf>
          </x14:cfRule>
          <x14:cfRule type="expression" priority="1813" stopIfTrue="1" id="{767518DC-8C31-42E8-A090-0551748A2987}">
            <xm:f>AND(IF(T179='Plan de Accion 2018'!BB77,T179&lt;&gt;"N/A"))</xm:f>
            <x14:dxf>
              <fill>
                <patternFill>
                  <bgColor rgb="FF00B050"/>
                </patternFill>
              </fill>
            </x14:dxf>
          </x14:cfRule>
          <x14:cfRule type="expression" priority="1814" stopIfTrue="1" id="{44B32A7A-BD11-49C1-8FEF-7804C43A49B9}">
            <xm:f>AND(IF(T179&lt;'Plan de Accion 2018'!BB77,T179&lt;&gt;"N/A"))</xm:f>
            <x14:dxf>
              <fill>
                <patternFill>
                  <bgColor indexed="10"/>
                </patternFill>
              </fill>
            </x14:dxf>
          </x14:cfRule>
          <xm:sqref>T179:T180</xm:sqref>
        </x14:conditionalFormatting>
        <x14:conditionalFormatting xmlns:xm="http://schemas.microsoft.com/office/excel/2006/main">
          <x14:cfRule type="expression" priority="1800" id="{7820C9B1-7D13-4F43-81D5-428B63264697}">
            <xm:f>AND(IF(T114&gt;'Plan de Accion 2018'!BB119,T114&lt;&gt;¨N/A¨))</xm:f>
            <x14:dxf>
              <fill>
                <patternFill>
                  <bgColor theme="1" tint="0.499984740745262"/>
                </patternFill>
              </fill>
            </x14:dxf>
          </x14:cfRule>
          <x14:cfRule type="expression" priority="1801" stopIfTrue="1" id="{FC8C08A1-2453-4282-9C85-CC1C89743B34}">
            <xm:f>AND(IF(T114='Plan de Accion 2018'!BB119,T114&lt;&gt;"N/A"))</xm:f>
            <x14:dxf>
              <fill>
                <patternFill>
                  <bgColor rgb="FF00B050"/>
                </patternFill>
              </fill>
            </x14:dxf>
          </x14:cfRule>
          <x14:cfRule type="expression" priority="1802" stopIfTrue="1" id="{F58CE29C-2839-43BF-A068-CDBAD0C581EF}">
            <xm:f>AND(IF(T114&lt;'Plan de Accion 2018'!BB119,T114&lt;&gt;"N/A"))</xm:f>
            <x14:dxf>
              <fill>
                <patternFill>
                  <bgColor indexed="10"/>
                </patternFill>
              </fill>
            </x14:dxf>
          </x14:cfRule>
          <xm:sqref>T114</xm:sqref>
        </x14:conditionalFormatting>
        <x14:conditionalFormatting xmlns:xm="http://schemas.microsoft.com/office/excel/2006/main">
          <x14:cfRule type="expression" priority="1797" id="{F73FA909-525B-40DE-BB61-D3D073D0F15D}">
            <xm:f>AND(IF(T115&gt;'Plan de Accion 2018'!BB141,T115&lt;&gt;¨N/A¨))</xm:f>
            <x14:dxf>
              <fill>
                <patternFill>
                  <bgColor theme="1" tint="0.499984740745262"/>
                </patternFill>
              </fill>
            </x14:dxf>
          </x14:cfRule>
          <x14:cfRule type="expression" priority="1798" stopIfTrue="1" id="{43BF1975-8F97-4317-8E29-9AC9BFA26B9A}">
            <xm:f>AND(IF(T115='Plan de Accion 2018'!BB141,T115&lt;&gt;"N/A"))</xm:f>
            <x14:dxf>
              <fill>
                <patternFill>
                  <bgColor rgb="FF00B050"/>
                </patternFill>
              </fill>
            </x14:dxf>
          </x14:cfRule>
          <x14:cfRule type="expression" priority="1799" stopIfTrue="1" id="{46706645-CE4B-4F62-A634-EDC7284A82B0}">
            <xm:f>AND(IF(T115&lt;'Plan de Accion 2018'!BB141,T115&lt;&gt;"N/A"))</xm:f>
            <x14:dxf>
              <fill>
                <patternFill>
                  <bgColor indexed="10"/>
                </patternFill>
              </fill>
            </x14:dxf>
          </x14:cfRule>
          <xm:sqref>T115</xm:sqref>
        </x14:conditionalFormatting>
        <x14:conditionalFormatting xmlns:xm="http://schemas.microsoft.com/office/excel/2006/main">
          <x14:cfRule type="expression" priority="1794" id="{4D94821D-4E8E-43B0-9CF5-545C0AF0A0D7}">
            <xm:f>AND(IF(T116&gt;'Plan de Accion 2018'!BB143,T116&lt;&gt;¨N/A¨))</xm:f>
            <x14:dxf>
              <fill>
                <patternFill>
                  <bgColor theme="1" tint="0.499984740745262"/>
                </patternFill>
              </fill>
            </x14:dxf>
          </x14:cfRule>
          <x14:cfRule type="expression" priority="1795" stopIfTrue="1" id="{38DE079F-6BE3-47AB-8C9F-636CC3D2612E}">
            <xm:f>AND(IF(T116='Plan de Accion 2018'!BB143,T116&lt;&gt;"N/A"))</xm:f>
            <x14:dxf>
              <fill>
                <patternFill>
                  <bgColor rgb="FF00B050"/>
                </patternFill>
              </fill>
            </x14:dxf>
          </x14:cfRule>
          <x14:cfRule type="expression" priority="1796" stopIfTrue="1" id="{82B6F224-6814-4D88-849D-5C23B776C0CF}">
            <xm:f>AND(IF(T116&lt;'Plan de Accion 2018'!BB143,T116&lt;&gt;"N/A"))</xm:f>
            <x14:dxf>
              <fill>
                <patternFill>
                  <bgColor indexed="10"/>
                </patternFill>
              </fill>
            </x14:dxf>
          </x14:cfRule>
          <xm:sqref>T116</xm:sqref>
        </x14:conditionalFormatting>
        <x14:conditionalFormatting xmlns:xm="http://schemas.microsoft.com/office/excel/2006/main">
          <x14:cfRule type="expression" priority="1791" id="{D738C595-0AB1-410B-A82F-B93BCE90122F}">
            <xm:f>AND(IF(T192&gt;'Plan de Accion 2018'!BB120,T192&lt;&gt;¨N/A¨))</xm:f>
            <x14:dxf>
              <fill>
                <patternFill>
                  <bgColor theme="1" tint="0.499984740745262"/>
                </patternFill>
              </fill>
            </x14:dxf>
          </x14:cfRule>
          <x14:cfRule type="expression" priority="1792" stopIfTrue="1" id="{8B858AC2-8231-453C-A5E2-30898E1005DB}">
            <xm:f>AND(IF(T192='Plan de Accion 2018'!BB120,T192&lt;&gt;"N/A"))</xm:f>
            <x14:dxf>
              <fill>
                <patternFill>
                  <bgColor rgb="FF00B050"/>
                </patternFill>
              </fill>
            </x14:dxf>
          </x14:cfRule>
          <x14:cfRule type="expression" priority="1793" stopIfTrue="1" id="{E92F9A76-B53A-40C2-9813-3DB56118F4F4}">
            <xm:f>AND(IF(T192&lt;'Plan de Accion 2018'!BB120,T192&lt;&gt;"N/A"))</xm:f>
            <x14:dxf>
              <fill>
                <patternFill>
                  <bgColor indexed="10"/>
                </patternFill>
              </fill>
            </x14:dxf>
          </x14:cfRule>
          <xm:sqref>T207:T208 T192</xm:sqref>
        </x14:conditionalFormatting>
        <x14:conditionalFormatting xmlns:xm="http://schemas.microsoft.com/office/excel/2006/main">
          <x14:cfRule type="expression" priority="1746" id="{8B58AC9B-2564-4851-8CF7-81257112D782}">
            <xm:f>AND(IF(T133&gt;'Plan de Accion 2018'!BB67,T133&lt;&gt;¨N/A¨))</xm:f>
            <x14:dxf>
              <fill>
                <patternFill>
                  <bgColor theme="1" tint="0.499984740745262"/>
                </patternFill>
              </fill>
            </x14:dxf>
          </x14:cfRule>
          <x14:cfRule type="expression" priority="1747" stopIfTrue="1" id="{CBE98F63-D54E-4FD7-9218-3242597E0E0E}">
            <xm:f>AND(IF(T133='Plan de Accion 2018'!BB67,T133&lt;&gt;"N/A"))</xm:f>
            <x14:dxf>
              <fill>
                <patternFill>
                  <bgColor rgb="FF00B050"/>
                </patternFill>
              </fill>
            </x14:dxf>
          </x14:cfRule>
          <x14:cfRule type="expression" priority="1748" stopIfTrue="1" id="{1885236D-6AAD-45DD-8743-8FDF30875EC2}">
            <xm:f>AND(IF(T133&lt;'Plan de Accion 2018'!BB67,T133&lt;&gt;"N/A"))</xm:f>
            <x14:dxf>
              <fill>
                <patternFill>
                  <bgColor indexed="10"/>
                </patternFill>
              </fill>
            </x14:dxf>
          </x14:cfRule>
          <xm:sqref>T133:T136</xm:sqref>
        </x14:conditionalFormatting>
        <x14:conditionalFormatting xmlns:xm="http://schemas.microsoft.com/office/excel/2006/main">
          <x14:cfRule type="expression" priority="1737" id="{FDA65EEB-C2CF-4D14-B21D-64EEFDFE10EA}">
            <xm:f>AND(IF(T137&gt;'Plan de Accion 2018'!BB72,T137&lt;&gt;¨N/A¨))</xm:f>
            <x14:dxf>
              <fill>
                <patternFill>
                  <bgColor theme="1" tint="0.499984740745262"/>
                </patternFill>
              </fill>
            </x14:dxf>
          </x14:cfRule>
          <x14:cfRule type="expression" priority="1738" stopIfTrue="1" id="{23205572-B7FA-4C76-BC9E-33A54BDB8B80}">
            <xm:f>AND(IF(T137='Plan de Accion 2018'!BB72,T137&lt;&gt;"N/A"))</xm:f>
            <x14:dxf>
              <fill>
                <patternFill>
                  <bgColor rgb="FF00B050"/>
                </patternFill>
              </fill>
            </x14:dxf>
          </x14:cfRule>
          <x14:cfRule type="expression" priority="1739" stopIfTrue="1" id="{B50BA2C5-DC7F-470E-86A2-0B4D5002FFDD}">
            <xm:f>AND(IF(T137&lt;'Plan de Accion 2018'!BB72,T137&lt;&gt;"N/A"))</xm:f>
            <x14:dxf>
              <fill>
                <patternFill>
                  <bgColor indexed="10"/>
                </patternFill>
              </fill>
            </x14:dxf>
          </x14:cfRule>
          <xm:sqref>T137</xm:sqref>
        </x14:conditionalFormatting>
        <x14:conditionalFormatting xmlns:xm="http://schemas.microsoft.com/office/excel/2006/main">
          <x14:cfRule type="expression" priority="1734" id="{D89E0A52-3EAD-4483-85E3-230DCE6CCF64}">
            <xm:f>AND(IF(T138&gt;'Plan de Accion 2018'!BB74,T138&lt;&gt;¨N/A¨))</xm:f>
            <x14:dxf>
              <fill>
                <patternFill>
                  <bgColor theme="1" tint="0.499984740745262"/>
                </patternFill>
              </fill>
            </x14:dxf>
          </x14:cfRule>
          <x14:cfRule type="expression" priority="1735" stopIfTrue="1" id="{7E9967FF-7D3E-4AA8-A92F-849FBE866CAB}">
            <xm:f>AND(IF(T138='Plan de Accion 2018'!BB74,T138&lt;&gt;"N/A"))</xm:f>
            <x14:dxf>
              <fill>
                <patternFill>
                  <bgColor rgb="FF00B050"/>
                </patternFill>
              </fill>
            </x14:dxf>
          </x14:cfRule>
          <x14:cfRule type="expression" priority="1736" stopIfTrue="1" id="{B2A33090-D151-45D8-95A1-ADB520464634}">
            <xm:f>AND(IF(T138&lt;'Plan de Accion 2018'!BB74,T138&lt;&gt;"N/A"))</xm:f>
            <x14:dxf>
              <fill>
                <patternFill>
                  <bgColor indexed="10"/>
                </patternFill>
              </fill>
            </x14:dxf>
          </x14:cfRule>
          <xm:sqref>T138:T139</xm:sqref>
        </x14:conditionalFormatting>
        <x14:conditionalFormatting xmlns:xm="http://schemas.microsoft.com/office/excel/2006/main">
          <x14:cfRule type="expression" priority="1728" id="{B648ED92-28A1-4806-A183-FA5CB89E7712}">
            <xm:f>AND(IF(T141&gt;'Plan de Accion 2018'!BB36,T141&lt;&gt;¨N/A¨))</xm:f>
            <x14:dxf>
              <fill>
                <patternFill>
                  <bgColor theme="1" tint="0.499984740745262"/>
                </patternFill>
              </fill>
            </x14:dxf>
          </x14:cfRule>
          <x14:cfRule type="expression" priority="1729" stopIfTrue="1" id="{FC9E04DF-CB56-4E9E-B7CA-70B72D89611B}">
            <xm:f>AND(IF(T141='Plan de Accion 2018'!BB36,T141&lt;&gt;"N/A"))</xm:f>
            <x14:dxf>
              <fill>
                <patternFill>
                  <bgColor rgb="FF00B050"/>
                </patternFill>
              </fill>
            </x14:dxf>
          </x14:cfRule>
          <x14:cfRule type="expression" priority="1730" stopIfTrue="1" id="{4185C57B-F500-4A4B-A016-CFEA741B26B4}">
            <xm:f>AND(IF(T141&lt;'Plan de Accion 2018'!BB36,T141&lt;&gt;"N/A"))</xm:f>
            <x14:dxf>
              <fill>
                <patternFill>
                  <bgColor indexed="10"/>
                </patternFill>
              </fill>
            </x14:dxf>
          </x14:cfRule>
          <xm:sqref>T141:T148</xm:sqref>
        </x14:conditionalFormatting>
        <x14:conditionalFormatting xmlns:xm="http://schemas.microsoft.com/office/excel/2006/main">
          <x14:cfRule type="expression" priority="1680" id="{14A93AE5-ED2E-4884-BC84-1B891A3FE589}">
            <xm:f>AND(IF(T158&gt;'Plan de Accion 2018'!BB139,T158&lt;&gt;¨N/A¨))</xm:f>
            <x14:dxf>
              <fill>
                <patternFill>
                  <bgColor theme="1" tint="0.499984740745262"/>
                </patternFill>
              </fill>
            </x14:dxf>
          </x14:cfRule>
          <x14:cfRule type="expression" priority="1681" stopIfTrue="1" id="{9B4ACB93-8A5C-45BB-B3D4-3969B0A634E6}">
            <xm:f>AND(IF(T158='Plan de Accion 2018'!BB139,T158&lt;&gt;"N/A"))</xm:f>
            <x14:dxf>
              <fill>
                <patternFill>
                  <bgColor rgb="FF00B050"/>
                </patternFill>
              </fill>
            </x14:dxf>
          </x14:cfRule>
          <x14:cfRule type="expression" priority="1682" stopIfTrue="1" id="{1ED4C1D7-BA09-43C1-8B94-5AB7D5EE5FE3}">
            <xm:f>AND(IF(T158&lt;'Plan de Accion 2018'!BB139,T158&lt;&gt;"N/A"))</xm:f>
            <x14:dxf>
              <fill>
                <patternFill>
                  <bgColor indexed="10"/>
                </patternFill>
              </fill>
            </x14:dxf>
          </x14:cfRule>
          <xm:sqref>T158</xm:sqref>
        </x14:conditionalFormatting>
        <x14:conditionalFormatting xmlns:xm="http://schemas.microsoft.com/office/excel/2006/main">
          <x14:cfRule type="expression" priority="1677" id="{2E284A69-B7BF-49BF-A941-5FD010AA5E02}">
            <xm:f>AND(IF(T159&gt;'Plan de Accion 2018'!BB146,T159&lt;&gt;¨N/A¨))</xm:f>
            <x14:dxf>
              <fill>
                <patternFill>
                  <bgColor theme="1" tint="0.499984740745262"/>
                </patternFill>
              </fill>
            </x14:dxf>
          </x14:cfRule>
          <x14:cfRule type="expression" priority="1678" stopIfTrue="1" id="{115E902F-2E27-4385-8A32-992FC00EC1A1}">
            <xm:f>AND(IF(T159='Plan de Accion 2018'!BB146,T159&lt;&gt;"N/A"))</xm:f>
            <x14:dxf>
              <fill>
                <patternFill>
                  <bgColor rgb="FF00B050"/>
                </patternFill>
              </fill>
            </x14:dxf>
          </x14:cfRule>
          <x14:cfRule type="expression" priority="1679" stopIfTrue="1" id="{0BE7342E-6A32-49AC-BE43-56C38193D1E5}">
            <xm:f>AND(IF(T159&lt;'Plan de Accion 2018'!BB146,T159&lt;&gt;"N/A"))</xm:f>
            <x14:dxf>
              <fill>
                <patternFill>
                  <bgColor indexed="10"/>
                </patternFill>
              </fill>
            </x14:dxf>
          </x14:cfRule>
          <xm:sqref>T159</xm:sqref>
        </x14:conditionalFormatting>
        <x14:conditionalFormatting xmlns:xm="http://schemas.microsoft.com/office/excel/2006/main">
          <x14:cfRule type="expression" priority="1674" id="{C8BC9AD3-5E42-4012-9028-A686F27317F4}">
            <xm:f>AND(IF(T160&gt;'Plan de Accion 2018'!BB148,T160&lt;&gt;¨N/A¨))</xm:f>
            <x14:dxf>
              <fill>
                <patternFill>
                  <bgColor theme="1" tint="0.499984740745262"/>
                </patternFill>
              </fill>
            </x14:dxf>
          </x14:cfRule>
          <x14:cfRule type="expression" priority="1675" stopIfTrue="1" id="{38851E1B-BFFB-4141-91E6-687AC0D491F1}">
            <xm:f>AND(IF(T160='Plan de Accion 2018'!BB148,T160&lt;&gt;"N/A"))</xm:f>
            <x14:dxf>
              <fill>
                <patternFill>
                  <bgColor rgb="FF00B050"/>
                </patternFill>
              </fill>
            </x14:dxf>
          </x14:cfRule>
          <x14:cfRule type="expression" priority="1676" stopIfTrue="1" id="{9DB65B02-FB47-41DA-A360-4E11A5FB8964}">
            <xm:f>AND(IF(T160&lt;'Plan de Accion 2018'!BB148,T160&lt;&gt;"N/A"))</xm:f>
            <x14:dxf>
              <fill>
                <patternFill>
                  <bgColor indexed="10"/>
                </patternFill>
              </fill>
            </x14:dxf>
          </x14:cfRule>
          <xm:sqref>T160</xm:sqref>
        </x14:conditionalFormatting>
        <x14:conditionalFormatting xmlns:xm="http://schemas.microsoft.com/office/excel/2006/main">
          <x14:cfRule type="expression" priority="1671" id="{49BB48CC-46AC-43D9-877F-4DA8A37DA981}">
            <xm:f>AND(IF(T162&gt;'Plan de Accion 2018'!BB8,T162&lt;&gt;¨N/A¨))</xm:f>
            <x14:dxf>
              <fill>
                <patternFill>
                  <bgColor theme="1" tint="0.499984740745262"/>
                </patternFill>
              </fill>
            </x14:dxf>
          </x14:cfRule>
          <x14:cfRule type="expression" priority="1672" stopIfTrue="1" id="{BBD14FE5-BA40-47EA-82B7-65F92BA2EB32}">
            <xm:f>AND(IF(T162='Plan de Accion 2018'!BB8,T162&lt;&gt;"N/A"))</xm:f>
            <x14:dxf>
              <fill>
                <patternFill>
                  <bgColor rgb="FF00B050"/>
                </patternFill>
              </fill>
            </x14:dxf>
          </x14:cfRule>
          <x14:cfRule type="expression" priority="1673" stopIfTrue="1" id="{420C83B9-915A-4B10-9382-90035496C395}">
            <xm:f>AND(IF(T162&lt;'Plan de Accion 2018'!BB8,T162&lt;&gt;"N/A"))</xm:f>
            <x14:dxf>
              <fill>
                <patternFill>
                  <bgColor indexed="10"/>
                </patternFill>
              </fill>
            </x14:dxf>
          </x14:cfRule>
          <xm:sqref>T162</xm:sqref>
        </x14:conditionalFormatting>
        <x14:conditionalFormatting xmlns:xm="http://schemas.microsoft.com/office/excel/2006/main">
          <x14:cfRule type="expression" priority="1668" id="{594D6FCC-334B-414C-9DC5-322CE45D1313}">
            <xm:f>AND(IF(T163&gt;'Plan de Accion 2018'!BB12,T163&lt;&gt;¨N/A¨))</xm:f>
            <x14:dxf>
              <fill>
                <patternFill>
                  <bgColor theme="1" tint="0.499984740745262"/>
                </patternFill>
              </fill>
            </x14:dxf>
          </x14:cfRule>
          <x14:cfRule type="expression" priority="1669" stopIfTrue="1" id="{186BA1D0-72C5-44CE-94E1-CB766E1A2C1A}">
            <xm:f>AND(IF(T163='Plan de Accion 2018'!BB12,T163&lt;&gt;"N/A"))</xm:f>
            <x14:dxf>
              <fill>
                <patternFill>
                  <bgColor rgb="FF00B050"/>
                </patternFill>
              </fill>
            </x14:dxf>
          </x14:cfRule>
          <x14:cfRule type="expression" priority="1670" stopIfTrue="1" id="{2273D7AA-DDC5-48BE-ACEC-27C8A8012A6D}">
            <xm:f>AND(IF(T163&lt;'Plan de Accion 2018'!BB12,T163&lt;&gt;"N/A"))</xm:f>
            <x14:dxf>
              <fill>
                <patternFill>
                  <bgColor indexed="10"/>
                </patternFill>
              </fill>
            </x14:dxf>
          </x14:cfRule>
          <xm:sqref>T163</xm:sqref>
        </x14:conditionalFormatting>
        <x14:conditionalFormatting xmlns:xm="http://schemas.microsoft.com/office/excel/2006/main">
          <x14:cfRule type="expression" priority="1665" id="{DD01C612-E410-4B92-B07F-A0B814644322}">
            <xm:f>AND(IF(T164&gt;'Plan de Accion 2018'!BB45,T164&lt;&gt;¨N/A¨))</xm:f>
            <x14:dxf>
              <fill>
                <patternFill>
                  <bgColor theme="1" tint="0.499984740745262"/>
                </patternFill>
              </fill>
            </x14:dxf>
          </x14:cfRule>
          <x14:cfRule type="expression" priority="1666" stopIfTrue="1" id="{FED7A9C4-1396-48CD-9E33-4E4182380692}">
            <xm:f>AND(IF(T164='Plan de Accion 2018'!BB45,T164&lt;&gt;"N/A"))</xm:f>
            <x14:dxf>
              <fill>
                <patternFill>
                  <bgColor rgb="FF00B050"/>
                </patternFill>
              </fill>
            </x14:dxf>
          </x14:cfRule>
          <x14:cfRule type="expression" priority="1667" stopIfTrue="1" id="{D4EE01C8-25FB-4155-9CFA-7F461DBBC86F}">
            <xm:f>AND(IF(T164&lt;'Plan de Accion 2018'!BB45,T164&lt;&gt;"N/A"))</xm:f>
            <x14:dxf>
              <fill>
                <patternFill>
                  <bgColor indexed="10"/>
                </patternFill>
              </fill>
            </x14:dxf>
          </x14:cfRule>
          <xm:sqref>T164</xm:sqref>
        </x14:conditionalFormatting>
        <x14:conditionalFormatting xmlns:xm="http://schemas.microsoft.com/office/excel/2006/main">
          <x14:cfRule type="expression" priority="1662" id="{AE741588-269F-492F-BC96-7B6018A3FD30}">
            <xm:f>AND(IF(T165&gt;'Plan de Accion 2018'!BB64,T165&lt;&gt;¨N/A¨))</xm:f>
            <x14:dxf>
              <fill>
                <patternFill>
                  <bgColor theme="1" tint="0.499984740745262"/>
                </patternFill>
              </fill>
            </x14:dxf>
          </x14:cfRule>
          <x14:cfRule type="expression" priority="1663" stopIfTrue="1" id="{4394C028-0DEE-4E4C-9BB6-53BC56D7E3A0}">
            <xm:f>AND(IF(T165='Plan de Accion 2018'!BB64,T165&lt;&gt;"N/A"))</xm:f>
            <x14:dxf>
              <fill>
                <patternFill>
                  <bgColor rgb="FF00B050"/>
                </patternFill>
              </fill>
            </x14:dxf>
          </x14:cfRule>
          <x14:cfRule type="expression" priority="1664" stopIfTrue="1" id="{8C73DCC2-7536-480F-A917-A4B6AD64037D}">
            <xm:f>AND(IF(T165&lt;'Plan de Accion 2018'!BB64,T165&lt;&gt;"N/A"))</xm:f>
            <x14:dxf>
              <fill>
                <patternFill>
                  <bgColor indexed="10"/>
                </patternFill>
              </fill>
            </x14:dxf>
          </x14:cfRule>
          <xm:sqref>T165</xm:sqref>
        </x14:conditionalFormatting>
        <x14:conditionalFormatting xmlns:xm="http://schemas.microsoft.com/office/excel/2006/main">
          <x14:cfRule type="expression" priority="1659" id="{43F9CA74-1080-41F6-B897-6CB393E10884}">
            <xm:f>AND(IF(T166&gt;'Plan de Accion 2018'!BB76,T166&lt;&gt;¨N/A¨))</xm:f>
            <x14:dxf>
              <fill>
                <patternFill>
                  <bgColor theme="1" tint="0.499984740745262"/>
                </patternFill>
              </fill>
            </x14:dxf>
          </x14:cfRule>
          <x14:cfRule type="expression" priority="1660" stopIfTrue="1" id="{5177258B-C3B3-49BA-95AE-E88BDEAF1043}">
            <xm:f>AND(IF(T166='Plan de Accion 2018'!BB76,T166&lt;&gt;"N/A"))</xm:f>
            <x14:dxf>
              <fill>
                <patternFill>
                  <bgColor rgb="FF00B050"/>
                </patternFill>
              </fill>
            </x14:dxf>
          </x14:cfRule>
          <x14:cfRule type="expression" priority="1661" stopIfTrue="1" id="{2DC7CE2C-5FC3-448C-A250-0065D10A8B00}">
            <xm:f>AND(IF(T166&lt;'Plan de Accion 2018'!BB76,T166&lt;&gt;"N/A"))</xm:f>
            <x14:dxf>
              <fill>
                <patternFill>
                  <bgColor indexed="10"/>
                </patternFill>
              </fill>
            </x14:dxf>
          </x14:cfRule>
          <xm:sqref>T166</xm:sqref>
        </x14:conditionalFormatting>
        <x14:conditionalFormatting xmlns:xm="http://schemas.microsoft.com/office/excel/2006/main">
          <x14:cfRule type="expression" priority="1656" id="{9904E9B9-4E73-411F-B272-C9899766C1BD}">
            <xm:f>AND(IF(T167&gt;'Plan de Accion 2018'!BB89,T167&lt;&gt;¨N/A¨))</xm:f>
            <x14:dxf>
              <fill>
                <patternFill>
                  <bgColor theme="1" tint="0.499984740745262"/>
                </patternFill>
              </fill>
            </x14:dxf>
          </x14:cfRule>
          <x14:cfRule type="expression" priority="1657" stopIfTrue="1" id="{F8BF505B-3C88-4379-A6F1-BD68D646EFC1}">
            <xm:f>AND(IF(T167='Plan de Accion 2018'!BB89,T167&lt;&gt;"N/A"))</xm:f>
            <x14:dxf>
              <fill>
                <patternFill>
                  <bgColor rgb="FF00B050"/>
                </patternFill>
              </fill>
            </x14:dxf>
          </x14:cfRule>
          <x14:cfRule type="expression" priority="1658" stopIfTrue="1" id="{B2EBD67D-6564-4A26-B2C5-1BC96A868576}">
            <xm:f>AND(IF(T167&lt;'Plan de Accion 2018'!BB89,T167&lt;&gt;"N/A"))</xm:f>
            <x14:dxf>
              <fill>
                <patternFill>
                  <bgColor indexed="10"/>
                </patternFill>
              </fill>
            </x14:dxf>
          </x14:cfRule>
          <xm:sqref>T167</xm:sqref>
        </x14:conditionalFormatting>
        <x14:conditionalFormatting xmlns:xm="http://schemas.microsoft.com/office/excel/2006/main">
          <x14:cfRule type="expression" priority="1653" id="{B7BFF239-E33D-4118-A834-DF22EF33402C}">
            <xm:f>AND(IF(T209&gt;'Plan de Accion 2018'!BB154,T209&lt;&gt;¨N/A¨))</xm:f>
            <x14:dxf>
              <fill>
                <patternFill>
                  <bgColor theme="1" tint="0.499984740745262"/>
                </patternFill>
              </fill>
            </x14:dxf>
          </x14:cfRule>
          <x14:cfRule type="expression" priority="1654" stopIfTrue="1" id="{03A8B7B2-6348-43C6-9B2D-64B57D795C84}">
            <xm:f>AND(IF(T209='Plan de Accion 2018'!BB154,T209&lt;&gt;"N/A"))</xm:f>
            <x14:dxf>
              <fill>
                <patternFill>
                  <bgColor rgb="FF00B050"/>
                </patternFill>
              </fill>
            </x14:dxf>
          </x14:cfRule>
          <x14:cfRule type="expression" priority="1655" stopIfTrue="1" id="{F61726E2-2D36-41F9-84D0-F2F96F885312}">
            <xm:f>AND(IF(T209&lt;'Plan de Accion 2018'!BB154,T209&lt;&gt;"N/A"))</xm:f>
            <x14:dxf>
              <fill>
                <patternFill>
                  <bgColor indexed="10"/>
                </patternFill>
              </fill>
            </x14:dxf>
          </x14:cfRule>
          <xm:sqref>T209</xm:sqref>
        </x14:conditionalFormatting>
        <x14:conditionalFormatting xmlns:xm="http://schemas.microsoft.com/office/excel/2006/main">
          <x14:cfRule type="expression" priority="1644" id="{95801731-701E-4E5B-9A17-163A89DAA4BC}">
            <xm:f>AND(IF(T173&gt;'Plan de Accion 2018'!BB13,T173&lt;&gt;¨N/A¨))</xm:f>
            <x14:dxf>
              <fill>
                <patternFill>
                  <bgColor theme="1" tint="0.499984740745262"/>
                </patternFill>
              </fill>
            </x14:dxf>
          </x14:cfRule>
          <x14:cfRule type="expression" priority="1645" stopIfTrue="1" id="{23D81355-5ECA-48E3-8200-074423CEF04F}">
            <xm:f>AND(IF(T173='Plan de Accion 2018'!BB13,T173&lt;&gt;"N/A"))</xm:f>
            <x14:dxf>
              <fill>
                <patternFill>
                  <bgColor rgb="FF00B050"/>
                </patternFill>
              </fill>
            </x14:dxf>
          </x14:cfRule>
          <x14:cfRule type="expression" priority="1646" stopIfTrue="1" id="{F30A8F8D-97F9-42B0-9025-2442C1790EEC}">
            <xm:f>AND(IF(T173&lt;'Plan de Accion 2018'!BB13,T173&lt;&gt;"N/A"))</xm:f>
            <x14:dxf>
              <fill>
                <patternFill>
                  <bgColor indexed="10"/>
                </patternFill>
              </fill>
            </x14:dxf>
          </x14:cfRule>
          <xm:sqref>T173:T174</xm:sqref>
        </x14:conditionalFormatting>
        <x14:conditionalFormatting xmlns:xm="http://schemas.microsoft.com/office/excel/2006/main">
          <x14:cfRule type="expression" priority="1638" id="{02DEE281-A041-4168-B0A4-49DADD47B6FF}">
            <xm:f>AND(IF(T175&gt;'Plan de Accion 2018'!BB46,T175&lt;&gt;¨N/A¨))</xm:f>
            <x14:dxf>
              <fill>
                <patternFill>
                  <bgColor theme="1" tint="0.499984740745262"/>
                </patternFill>
              </fill>
            </x14:dxf>
          </x14:cfRule>
          <x14:cfRule type="expression" priority="1639" stopIfTrue="1" id="{D1ED27DF-09D8-45CF-BDFF-213142DA3979}">
            <xm:f>AND(IF(T175='Plan de Accion 2018'!BB46,T175&lt;&gt;"N/A"))</xm:f>
            <x14:dxf>
              <fill>
                <patternFill>
                  <bgColor rgb="FF00B050"/>
                </patternFill>
              </fill>
            </x14:dxf>
          </x14:cfRule>
          <x14:cfRule type="expression" priority="1640" stopIfTrue="1" id="{8FBCFD5A-825F-43DF-BFD7-1CE0907D8681}">
            <xm:f>AND(IF(T175&lt;'Plan de Accion 2018'!BB46,T175&lt;&gt;"N/A"))</xm:f>
            <x14:dxf>
              <fill>
                <patternFill>
                  <bgColor indexed="10"/>
                </patternFill>
              </fill>
            </x14:dxf>
          </x14:cfRule>
          <xm:sqref>T175:T176</xm:sqref>
        </x14:conditionalFormatting>
        <x14:conditionalFormatting xmlns:xm="http://schemas.microsoft.com/office/excel/2006/main">
          <x14:cfRule type="expression" priority="1632" id="{2E070972-39CB-44CC-95E1-8B947D2CD059}">
            <xm:f>AND(IF(T177&gt;'Plan de Accion 2018'!BB65,T177&lt;&gt;¨N/A¨))</xm:f>
            <x14:dxf>
              <fill>
                <patternFill>
                  <bgColor theme="1" tint="0.499984740745262"/>
                </patternFill>
              </fill>
            </x14:dxf>
          </x14:cfRule>
          <x14:cfRule type="expression" priority="1633" stopIfTrue="1" id="{32FA7C18-CEFB-4952-A000-4EECDC9DDF97}">
            <xm:f>AND(IF(T177='Plan de Accion 2018'!BB65,T177&lt;&gt;"N/A"))</xm:f>
            <x14:dxf>
              <fill>
                <patternFill>
                  <bgColor rgb="FF00B050"/>
                </patternFill>
              </fill>
            </x14:dxf>
          </x14:cfRule>
          <x14:cfRule type="expression" priority="1634" stopIfTrue="1" id="{27BCD963-9FBC-436C-9CC9-2DCA2C21E174}">
            <xm:f>AND(IF(T177&lt;'Plan de Accion 2018'!BB65,T177&lt;&gt;"N/A"))</xm:f>
            <x14:dxf>
              <fill>
                <patternFill>
                  <bgColor indexed="10"/>
                </patternFill>
              </fill>
            </x14:dxf>
          </x14:cfRule>
          <xm:sqref>T177:T178</xm:sqref>
        </x14:conditionalFormatting>
        <x14:conditionalFormatting xmlns:xm="http://schemas.microsoft.com/office/excel/2006/main">
          <x14:cfRule type="expression" priority="1620" id="{E5E16DFC-C987-4084-95F0-4EA28170F9FA}">
            <xm:f>AND(IF(T181&gt;'Plan de Accion 2018'!BB90,T181&lt;&gt;¨N/A¨))</xm:f>
            <x14:dxf>
              <fill>
                <patternFill>
                  <bgColor theme="1" tint="0.499984740745262"/>
                </patternFill>
              </fill>
            </x14:dxf>
          </x14:cfRule>
          <x14:cfRule type="expression" priority="1621" stopIfTrue="1" id="{A0735488-8403-4201-9DB5-90FEDFF35F82}">
            <xm:f>AND(IF(T181='Plan de Accion 2018'!BB90,T181&lt;&gt;"N/A"))</xm:f>
            <x14:dxf>
              <fill>
                <patternFill>
                  <bgColor rgb="FF00B050"/>
                </patternFill>
              </fill>
            </x14:dxf>
          </x14:cfRule>
          <x14:cfRule type="expression" priority="1622" stopIfTrue="1" id="{82C329F4-AD04-4907-B2D4-9FF402C33068}">
            <xm:f>AND(IF(T181&lt;'Plan de Accion 2018'!BB90,T181&lt;&gt;"N/A"))</xm:f>
            <x14:dxf>
              <fill>
                <patternFill>
                  <bgColor indexed="10"/>
                </patternFill>
              </fill>
            </x14:dxf>
          </x14:cfRule>
          <xm:sqref>T181:T182</xm:sqref>
        </x14:conditionalFormatting>
        <x14:conditionalFormatting xmlns:xm="http://schemas.microsoft.com/office/excel/2006/main">
          <x14:cfRule type="expression" priority="1614" id="{680D9657-8D51-4B29-B05F-FA00B6301E5F}">
            <xm:f>AND(IF(T183&gt;'Plan de Accion 2018'!BB99,T183&lt;&gt;¨N/A¨))</xm:f>
            <x14:dxf>
              <fill>
                <patternFill>
                  <bgColor theme="1" tint="0.499984740745262"/>
                </patternFill>
              </fill>
            </x14:dxf>
          </x14:cfRule>
          <x14:cfRule type="expression" priority="1615" stopIfTrue="1" id="{8A2BB02E-5C97-48F8-9000-B01E4F557578}">
            <xm:f>AND(IF(T183='Plan de Accion 2018'!BB99,T183&lt;&gt;"N/A"))</xm:f>
            <x14:dxf>
              <fill>
                <patternFill>
                  <bgColor rgb="FF00B050"/>
                </patternFill>
              </fill>
            </x14:dxf>
          </x14:cfRule>
          <x14:cfRule type="expression" priority="1616" stopIfTrue="1" id="{C1442491-D355-44B7-A35D-1C2131166F64}">
            <xm:f>AND(IF(T183&lt;'Plan de Accion 2018'!BB99,T183&lt;&gt;"N/A"))</xm:f>
            <x14:dxf>
              <fill>
                <patternFill>
                  <bgColor indexed="10"/>
                </patternFill>
              </fill>
            </x14:dxf>
          </x14:cfRule>
          <xm:sqref>T183:T184</xm:sqref>
        </x14:conditionalFormatting>
        <x14:conditionalFormatting xmlns:xm="http://schemas.microsoft.com/office/excel/2006/main">
          <x14:cfRule type="expression" priority="1608" id="{3888F89E-6EF9-4536-9DA7-9C2E6458F978}">
            <xm:f>AND(IF(T185&gt;'Plan de Accion 2018'!BB104,T185&lt;&gt;¨N/A¨))</xm:f>
            <x14:dxf>
              <fill>
                <patternFill>
                  <bgColor theme="1" tint="0.499984740745262"/>
                </patternFill>
              </fill>
            </x14:dxf>
          </x14:cfRule>
          <x14:cfRule type="expression" priority="1609" stopIfTrue="1" id="{0C771F0F-8A73-47E0-BBF8-F8C87133940F}">
            <xm:f>AND(IF(T185='Plan de Accion 2018'!BB104,T185&lt;&gt;"N/A"))</xm:f>
            <x14:dxf>
              <fill>
                <patternFill>
                  <bgColor rgb="FF00B050"/>
                </patternFill>
              </fill>
            </x14:dxf>
          </x14:cfRule>
          <x14:cfRule type="expression" priority="1610" stopIfTrue="1" id="{EAEAF252-5FE2-4257-94F0-890A579D30E1}">
            <xm:f>AND(IF(T185&lt;'Plan de Accion 2018'!BB104,T185&lt;&gt;"N/A"))</xm:f>
            <x14:dxf>
              <fill>
                <patternFill>
                  <bgColor indexed="10"/>
                </patternFill>
              </fill>
            </x14:dxf>
          </x14:cfRule>
          <xm:sqref>T185</xm:sqref>
        </x14:conditionalFormatting>
        <x14:conditionalFormatting xmlns:xm="http://schemas.microsoft.com/office/excel/2006/main">
          <x14:cfRule type="expression" priority="1605" id="{B20AF367-92E3-42E3-83BF-FB583F6C74A2}">
            <xm:f>AND(IF(T186&gt;'Plan de Accion 2018'!BB110,T186&lt;&gt;¨N/A¨))</xm:f>
            <x14:dxf>
              <fill>
                <patternFill>
                  <bgColor theme="1" tint="0.499984740745262"/>
                </patternFill>
              </fill>
            </x14:dxf>
          </x14:cfRule>
          <x14:cfRule type="expression" priority="1606" stopIfTrue="1" id="{18D37A8A-1036-4B5C-A3C6-86D47C770531}">
            <xm:f>AND(IF(T186='Plan de Accion 2018'!BB110,T186&lt;&gt;"N/A"))</xm:f>
            <x14:dxf>
              <fill>
                <patternFill>
                  <bgColor rgb="FF00B050"/>
                </patternFill>
              </fill>
            </x14:dxf>
          </x14:cfRule>
          <x14:cfRule type="expression" priority="1607" stopIfTrue="1" id="{8EF048D6-5E95-4E2A-A794-0AE57BFF4D23}">
            <xm:f>AND(IF(T186&lt;'Plan de Accion 2018'!BB110,T186&lt;&gt;"N/A"))</xm:f>
            <x14:dxf>
              <fill>
                <patternFill>
                  <bgColor indexed="10"/>
                </patternFill>
              </fill>
            </x14:dxf>
          </x14:cfRule>
          <xm:sqref>T186</xm:sqref>
        </x14:conditionalFormatting>
        <x14:conditionalFormatting xmlns:xm="http://schemas.microsoft.com/office/excel/2006/main">
          <x14:cfRule type="expression" priority="1602" id="{19B728D7-98D6-4701-AE31-8F7340A4F1F6}">
            <xm:f>AND(IF(T187&gt;'Plan de Accion 2018'!BB113,T187&lt;&gt;¨N/A¨))</xm:f>
            <x14:dxf>
              <fill>
                <patternFill>
                  <bgColor theme="1" tint="0.499984740745262"/>
                </patternFill>
              </fill>
            </x14:dxf>
          </x14:cfRule>
          <x14:cfRule type="expression" priority="1603" stopIfTrue="1" id="{14623FB5-9126-475B-A4EA-C7AA42ACF9DD}">
            <xm:f>AND(IF(T187='Plan de Accion 2018'!BB113,T187&lt;&gt;"N/A"))</xm:f>
            <x14:dxf>
              <fill>
                <patternFill>
                  <bgColor rgb="FF00B050"/>
                </patternFill>
              </fill>
            </x14:dxf>
          </x14:cfRule>
          <x14:cfRule type="expression" priority="1604" stopIfTrue="1" id="{E8EE6FF1-C8A3-49BD-8D51-4FA3DD7A2BC1}">
            <xm:f>AND(IF(T187&lt;'Plan de Accion 2018'!BB113,T187&lt;&gt;"N/A"))</xm:f>
            <x14:dxf>
              <fill>
                <patternFill>
                  <bgColor indexed="10"/>
                </patternFill>
              </fill>
            </x14:dxf>
          </x14:cfRule>
          <xm:sqref>T187</xm:sqref>
        </x14:conditionalFormatting>
        <x14:conditionalFormatting xmlns:xm="http://schemas.microsoft.com/office/excel/2006/main">
          <x14:cfRule type="expression" priority="1599" id="{80380232-C8A4-427E-9A35-F6E9428B6E13}">
            <xm:f>AND(IF(T188&gt;'Plan de Accion 2018'!BB115,T188&lt;&gt;¨N/A¨))</xm:f>
            <x14:dxf>
              <fill>
                <patternFill>
                  <bgColor theme="1" tint="0.499984740745262"/>
                </patternFill>
              </fill>
            </x14:dxf>
          </x14:cfRule>
          <x14:cfRule type="expression" priority="1600" stopIfTrue="1" id="{A988F7ED-3386-4188-86D4-93A8B26A0C3C}">
            <xm:f>AND(IF(T188='Plan de Accion 2018'!BB115,T188&lt;&gt;"N/A"))</xm:f>
            <x14:dxf>
              <fill>
                <patternFill>
                  <bgColor rgb="FF00B050"/>
                </patternFill>
              </fill>
            </x14:dxf>
          </x14:cfRule>
          <x14:cfRule type="expression" priority="1601" stopIfTrue="1" id="{ACB798F1-11FA-4402-B5AA-13AED5405F10}">
            <xm:f>AND(IF(T188&lt;'Plan de Accion 2018'!BB115,T188&lt;&gt;"N/A"))</xm:f>
            <x14:dxf>
              <fill>
                <patternFill>
                  <bgColor indexed="10"/>
                </patternFill>
              </fill>
            </x14:dxf>
          </x14:cfRule>
          <xm:sqref>T188:T191</xm:sqref>
        </x14:conditionalFormatting>
        <x14:conditionalFormatting xmlns:xm="http://schemas.microsoft.com/office/excel/2006/main">
          <x14:cfRule type="expression" priority="1578" id="{A72D5165-989D-40E4-B287-2A7795ADBA9C}">
            <xm:f>AND(IF(T196&gt;'Plan de Accion 2018'!BB63,T196&lt;&gt;¨N/A¨))</xm:f>
            <x14:dxf>
              <fill>
                <patternFill>
                  <bgColor theme="1" tint="0.499984740745262"/>
                </patternFill>
              </fill>
            </x14:dxf>
          </x14:cfRule>
          <x14:cfRule type="expression" priority="1579" stopIfTrue="1" id="{1414CD0C-EFE3-47DC-842F-C5628CC3D80C}">
            <xm:f>AND(IF(T196='Plan de Accion 2018'!BB63,T196&lt;&gt;"N/A"))</xm:f>
            <x14:dxf>
              <fill>
                <patternFill>
                  <bgColor rgb="FF00B050"/>
                </patternFill>
              </fill>
            </x14:dxf>
          </x14:cfRule>
          <x14:cfRule type="expression" priority="1580" stopIfTrue="1" id="{2A2598E8-976D-4C8D-8792-D458701C09B2}">
            <xm:f>AND(IF(T196&lt;'Plan de Accion 2018'!BB63,T196&lt;&gt;"N/A"))</xm:f>
            <x14:dxf>
              <fill>
                <patternFill>
                  <bgColor indexed="10"/>
                </patternFill>
              </fill>
            </x14:dxf>
          </x14:cfRule>
          <xm:sqref>T196</xm:sqref>
        </x14:conditionalFormatting>
        <x14:conditionalFormatting xmlns:xm="http://schemas.microsoft.com/office/excel/2006/main">
          <x14:cfRule type="expression" priority="1575" id="{715CD46F-DE7D-43C3-A129-D95596F18222}">
            <xm:f>AND(IF(T197&gt;'Plan de Accion 2018'!BB71,T197&lt;&gt;¨N/A¨))</xm:f>
            <x14:dxf>
              <fill>
                <patternFill>
                  <bgColor theme="1" tint="0.499984740745262"/>
                </patternFill>
              </fill>
            </x14:dxf>
          </x14:cfRule>
          <x14:cfRule type="expression" priority="1576" stopIfTrue="1" id="{DC693BE1-05D5-44F2-9B18-E4DC1F860AB3}">
            <xm:f>AND(IF(T197='Plan de Accion 2018'!BB71,T197&lt;&gt;"N/A"))</xm:f>
            <x14:dxf>
              <fill>
                <patternFill>
                  <bgColor rgb="FF00B050"/>
                </patternFill>
              </fill>
            </x14:dxf>
          </x14:cfRule>
          <x14:cfRule type="expression" priority="1577" stopIfTrue="1" id="{68352272-291D-45D4-B5B0-EBC96622313F}">
            <xm:f>AND(IF(T197&lt;'Plan de Accion 2018'!BB71,T197&lt;&gt;"N/A"))</xm:f>
            <x14:dxf>
              <fill>
                <patternFill>
                  <bgColor indexed="10"/>
                </patternFill>
              </fill>
            </x14:dxf>
          </x14:cfRule>
          <xm:sqref>T197</xm:sqref>
        </x14:conditionalFormatting>
        <x14:conditionalFormatting xmlns:xm="http://schemas.microsoft.com/office/excel/2006/main">
          <x14:cfRule type="expression" priority="1572" id="{AAC8D36C-BA90-423A-A2AD-3503276963D7}">
            <xm:f>AND(IF(T199&gt;'Plan de Accion 2018'!BB79,T199&lt;&gt;¨N/A¨))</xm:f>
            <x14:dxf>
              <fill>
                <patternFill>
                  <bgColor theme="1" tint="0.499984740745262"/>
                </patternFill>
              </fill>
            </x14:dxf>
          </x14:cfRule>
          <x14:cfRule type="expression" priority="1573" stopIfTrue="1" id="{E15F97A6-00C6-4D91-8EB7-F3BBD5B6AF90}">
            <xm:f>AND(IF(T199='Plan de Accion 2018'!BB79,T199&lt;&gt;"N/A"))</xm:f>
            <x14:dxf>
              <fill>
                <patternFill>
                  <bgColor rgb="FF00B050"/>
                </patternFill>
              </fill>
            </x14:dxf>
          </x14:cfRule>
          <x14:cfRule type="expression" priority="1574" stopIfTrue="1" id="{59D5E5EC-6801-4B5E-955E-14384DDE5A5E}">
            <xm:f>AND(IF(T199&lt;'Plan de Accion 2018'!BB79,T199&lt;&gt;"N/A"))</xm:f>
            <x14:dxf>
              <fill>
                <patternFill>
                  <bgColor indexed="10"/>
                </patternFill>
              </fill>
            </x14:dxf>
          </x14:cfRule>
          <xm:sqref>T199</xm:sqref>
        </x14:conditionalFormatting>
        <x14:conditionalFormatting xmlns:xm="http://schemas.microsoft.com/office/excel/2006/main">
          <x14:cfRule type="expression" priority="1569" id="{464F7A95-71DB-48FB-8456-47EAF318A521}">
            <xm:f>AND(IF(T200&gt;'Plan de Accion 2018'!BB83,T200&lt;&gt;¨N/A¨))</xm:f>
            <x14:dxf>
              <fill>
                <patternFill>
                  <bgColor theme="1" tint="0.499984740745262"/>
                </patternFill>
              </fill>
            </x14:dxf>
          </x14:cfRule>
          <x14:cfRule type="expression" priority="1570" stopIfTrue="1" id="{09CFEDDF-B080-4E13-BBFA-19F99F5BB784}">
            <xm:f>AND(IF(T200='Plan de Accion 2018'!BB83,T200&lt;&gt;"N/A"))</xm:f>
            <x14:dxf>
              <fill>
                <patternFill>
                  <bgColor rgb="FF00B050"/>
                </patternFill>
              </fill>
            </x14:dxf>
          </x14:cfRule>
          <x14:cfRule type="expression" priority="1571" stopIfTrue="1" id="{0B096B6D-879A-41B3-BF9F-0CBA1869600E}">
            <xm:f>AND(IF(T200&lt;'Plan de Accion 2018'!BB83,T200&lt;&gt;"N/A"))</xm:f>
            <x14:dxf>
              <fill>
                <patternFill>
                  <bgColor indexed="10"/>
                </patternFill>
              </fill>
            </x14:dxf>
          </x14:cfRule>
          <xm:sqref>T200:T201</xm:sqref>
        </x14:conditionalFormatting>
        <x14:conditionalFormatting xmlns:xm="http://schemas.microsoft.com/office/excel/2006/main">
          <x14:cfRule type="expression" priority="1563" id="{B7AFD7F0-448D-4720-8DF3-3B5AB8B6E2A4}">
            <xm:f>AND(IF(T203&gt;'Plan de Accion 2018'!BB73,T203&lt;&gt;¨N/A¨))</xm:f>
            <x14:dxf>
              <fill>
                <patternFill>
                  <bgColor theme="1" tint="0.499984740745262"/>
                </patternFill>
              </fill>
            </x14:dxf>
          </x14:cfRule>
          <x14:cfRule type="expression" priority="1564" stopIfTrue="1" id="{9ED02E3F-296D-4D21-A54F-F11E450F16EB}">
            <xm:f>AND(IF(T203='Plan de Accion 2018'!BB73,T203&lt;&gt;"N/A"))</xm:f>
            <x14:dxf>
              <fill>
                <patternFill>
                  <bgColor rgb="FF00B050"/>
                </patternFill>
              </fill>
            </x14:dxf>
          </x14:cfRule>
          <x14:cfRule type="expression" priority="1565" stopIfTrue="1" id="{D48301F8-2F75-451C-A9EA-BF25050AC88D}">
            <xm:f>AND(IF(T203&lt;'Plan de Accion 2018'!BB73,T203&lt;&gt;"N/A"))</xm:f>
            <x14:dxf>
              <fill>
                <patternFill>
                  <bgColor indexed="10"/>
                </patternFill>
              </fill>
            </x14:dxf>
          </x14:cfRule>
          <xm:sqref>T203</xm:sqref>
        </x14:conditionalFormatting>
        <x14:conditionalFormatting xmlns:xm="http://schemas.microsoft.com/office/excel/2006/main">
          <x14:cfRule type="expression" priority="1560" id="{8878B884-9F2D-47CE-AA3C-85099B75AA22}">
            <xm:f>AND(IF(T204&gt;'Plan de Accion 2018'!BB129,T204&lt;&gt;¨N/A¨))</xm:f>
            <x14:dxf>
              <fill>
                <patternFill>
                  <bgColor theme="1" tint="0.499984740745262"/>
                </patternFill>
              </fill>
            </x14:dxf>
          </x14:cfRule>
          <x14:cfRule type="expression" priority="1561" stopIfTrue="1" id="{CDFA8F20-5993-48AF-9168-F4ACAC0848CB}">
            <xm:f>AND(IF(T204='Plan de Accion 2018'!BB129,T204&lt;&gt;"N/A"))</xm:f>
            <x14:dxf>
              <fill>
                <patternFill>
                  <bgColor rgb="FF00B050"/>
                </patternFill>
              </fill>
            </x14:dxf>
          </x14:cfRule>
          <x14:cfRule type="expression" priority="1562" stopIfTrue="1" id="{125F7D51-6574-40F5-8AFE-C7FE813D70B6}">
            <xm:f>AND(IF(T204&lt;'Plan de Accion 2018'!BB129,T204&lt;&gt;"N/A"))</xm:f>
            <x14:dxf>
              <fill>
                <patternFill>
                  <bgColor indexed="10"/>
                </patternFill>
              </fill>
            </x14:dxf>
          </x14:cfRule>
          <xm:sqref>T204:T206</xm:sqref>
        </x14:conditionalFormatting>
        <x14:conditionalFormatting xmlns:xm="http://schemas.microsoft.com/office/excel/2006/main">
          <x14:cfRule type="expression" priority="1545" id="{F96CD83D-B11A-4BA6-AA2A-C9271C8A2E34}">
            <xm:f>AND(IF(T212&gt;'Plan de Accion 2018'!BB101,T212&lt;&gt;¨N/A¨))</xm:f>
            <x14:dxf>
              <fill>
                <patternFill>
                  <bgColor theme="1" tint="0.499984740745262"/>
                </patternFill>
              </fill>
            </x14:dxf>
          </x14:cfRule>
          <x14:cfRule type="expression" priority="1546" stopIfTrue="1" id="{4E42AA51-BD61-4E96-BEB4-BA31B5937076}">
            <xm:f>AND(IF(T212='Plan de Accion 2018'!BB101,T212&lt;&gt;"N/A"))</xm:f>
            <x14:dxf>
              <fill>
                <patternFill>
                  <bgColor rgb="FF00B050"/>
                </patternFill>
              </fill>
            </x14:dxf>
          </x14:cfRule>
          <x14:cfRule type="expression" priority="1547" stopIfTrue="1" id="{C5BA4D25-DB62-4BA4-9E5E-44906DBA3A7F}">
            <xm:f>AND(IF(T212&lt;'Plan de Accion 2018'!BB101,T212&lt;&gt;"N/A"))</xm:f>
            <x14:dxf>
              <fill>
                <patternFill>
                  <bgColor indexed="10"/>
                </patternFill>
              </fill>
            </x14:dxf>
          </x14:cfRule>
          <xm:sqref>T212:T213</xm:sqref>
        </x14:conditionalFormatting>
        <x14:conditionalFormatting xmlns:xm="http://schemas.microsoft.com/office/excel/2006/main">
          <x14:cfRule type="expression" priority="1539" id="{50FBCB88-C3BC-4E4F-919B-AB649F5F2AD3}">
            <xm:f>AND(IF(T214&gt;'Plan de Accion 2018'!BB121,T214&lt;&gt;¨N/A¨))</xm:f>
            <x14:dxf>
              <fill>
                <patternFill>
                  <bgColor theme="1" tint="0.499984740745262"/>
                </patternFill>
              </fill>
            </x14:dxf>
          </x14:cfRule>
          <x14:cfRule type="expression" priority="1540" stopIfTrue="1" id="{082EDA2E-1BE4-469E-AE7F-FF93216EF2E1}">
            <xm:f>AND(IF(T214='Plan de Accion 2018'!BB121,T214&lt;&gt;"N/A"))</xm:f>
            <x14:dxf>
              <fill>
                <patternFill>
                  <bgColor rgb="FF00B050"/>
                </patternFill>
              </fill>
            </x14:dxf>
          </x14:cfRule>
          <x14:cfRule type="expression" priority="1541" stopIfTrue="1" id="{0C40AB3A-8804-477F-A7DD-F082EF3B3D26}">
            <xm:f>AND(IF(T214&lt;'Plan de Accion 2018'!BB121,T214&lt;&gt;"N/A"))</xm:f>
            <x14:dxf>
              <fill>
                <patternFill>
                  <bgColor indexed="10"/>
                </patternFill>
              </fill>
            </x14:dxf>
          </x14:cfRule>
          <xm:sqref>T214</xm:sqref>
        </x14:conditionalFormatting>
        <x14:conditionalFormatting xmlns:xm="http://schemas.microsoft.com/office/excel/2006/main">
          <x14:cfRule type="expression" priority="18275" id="{FE061FE3-E036-4FA9-BE4A-A78FFA6B8197}">
            <xm:f>AND(IF(H27&gt;'Plan de Accion 2018'!X101,H27&lt;&gt;¨N/A¨))</xm:f>
            <x14:dxf>
              <fill>
                <patternFill>
                  <bgColor theme="1" tint="0.499984740745262"/>
                </patternFill>
              </fill>
            </x14:dxf>
          </x14:cfRule>
          <x14:cfRule type="expression" priority="18276" stopIfTrue="1" id="{EAFC3E16-7FE5-4FE3-A86E-86E41F0EEAD6}">
            <xm:f>AND(IF(H27='Plan de Accion 2018'!X101,H27&lt;&gt;"N/A"))</xm:f>
            <x14:dxf>
              <fill>
                <patternFill>
                  <bgColor rgb="FF00B050"/>
                </patternFill>
              </fill>
            </x14:dxf>
          </x14:cfRule>
          <x14:cfRule type="expression" priority="18277" stopIfTrue="1" id="{3E796038-D3D3-4EC2-A573-5AE2AE74D171}">
            <xm:f>AND(IF(H27&lt;'Plan de Accion 2018'!X101,H27&lt;&gt;"N/A"))</xm:f>
            <x14:dxf>
              <fill>
                <patternFill>
                  <bgColor indexed="10"/>
                </patternFill>
              </fill>
            </x14:dxf>
          </x14:cfRule>
          <xm:sqref>H27:H28</xm:sqref>
        </x14:conditionalFormatting>
        <x14:conditionalFormatting xmlns:xm="http://schemas.microsoft.com/office/excel/2006/main">
          <x14:cfRule type="expression" priority="18344" id="{7D4AC913-57AB-461C-A890-E0251661E5E6}">
            <xm:f>AND(IF(L25&gt;'Plan de Accion 2018'!AH99,L25&lt;&gt;¨N/A¨))</xm:f>
            <x14:dxf>
              <fill>
                <patternFill>
                  <bgColor theme="1" tint="0.499984740745262"/>
                </patternFill>
              </fill>
            </x14:dxf>
          </x14:cfRule>
          <x14:cfRule type="expression" priority="18345" stopIfTrue="1" id="{01174E2B-8095-4B99-857B-06581F95B853}">
            <xm:f>AND(IF(L25='Plan de Accion 2018'!AH99,L25&lt;&gt;"N/A"))</xm:f>
            <x14:dxf>
              <fill>
                <patternFill>
                  <bgColor rgb="FF00B050"/>
                </patternFill>
              </fill>
            </x14:dxf>
          </x14:cfRule>
          <x14:cfRule type="expression" priority="18346" stopIfTrue="1" id="{CF03E433-FBAD-4E7D-A1BB-B9032DB74152}">
            <xm:f>AND(IF(L25&lt;'Plan de Accion 2018'!AH99,L25&lt;&gt;"N/A"))</xm:f>
            <x14:dxf>
              <fill>
                <patternFill>
                  <bgColor indexed="10"/>
                </patternFill>
              </fill>
            </x14:dxf>
          </x14:cfRule>
          <xm:sqref>L25:L28</xm:sqref>
        </x14:conditionalFormatting>
        <x14:conditionalFormatting xmlns:xm="http://schemas.microsoft.com/office/excel/2006/main">
          <x14:cfRule type="expression" priority="18404" id="{F3B5BD8B-D949-4818-B91C-D549D3D0D58D}">
            <xm:f>AND(IF(P25&gt;'Plan de Accion 2018'!AR99,P25&lt;&gt;¨N/A¨))</xm:f>
            <x14:dxf>
              <fill>
                <patternFill>
                  <bgColor theme="1" tint="0.499984740745262"/>
                </patternFill>
              </fill>
            </x14:dxf>
          </x14:cfRule>
          <x14:cfRule type="expression" priority="18405" stopIfTrue="1" id="{51584085-3752-42B9-AB1F-28EBD4E389D1}">
            <xm:f>AND(IF(P25='Plan de Accion 2018'!AR99,P25&lt;&gt;"N/A"))</xm:f>
            <x14:dxf>
              <fill>
                <patternFill>
                  <bgColor rgb="FF00B050"/>
                </patternFill>
              </fill>
            </x14:dxf>
          </x14:cfRule>
          <x14:cfRule type="expression" priority="18406" stopIfTrue="1" id="{08BC4B55-80BD-4FB2-8F6F-0D725539333A}">
            <xm:f>AND(IF(P25&lt;'Plan de Accion 2018'!AR99,P25&lt;&gt;"N/A"))</xm:f>
            <x14:dxf>
              <fill>
                <patternFill>
                  <bgColor indexed="10"/>
                </patternFill>
              </fill>
            </x14:dxf>
          </x14:cfRule>
          <xm:sqref>P25:P28</xm:sqref>
        </x14:conditionalFormatting>
        <x14:conditionalFormatting xmlns:xm="http://schemas.microsoft.com/office/excel/2006/main">
          <x14:cfRule type="expression" priority="18455" id="{E6785B63-AECF-4EC7-A77A-6266DA67A67F}">
            <xm:f>AND(IF(T25&gt;'Plan de Accion 2018'!BB99,T25&lt;&gt;¨N/A¨))</xm:f>
            <x14:dxf>
              <fill>
                <patternFill>
                  <bgColor theme="1" tint="0.499984740745262"/>
                </patternFill>
              </fill>
            </x14:dxf>
          </x14:cfRule>
          <x14:cfRule type="expression" priority="18456" stopIfTrue="1" id="{41B4E958-32A9-486F-94A3-249C365B07B8}">
            <xm:f>AND(IF(T25='Plan de Accion 2018'!BB99,T25&lt;&gt;"N/A"))</xm:f>
            <x14:dxf>
              <fill>
                <patternFill>
                  <bgColor rgb="FF00B050"/>
                </patternFill>
              </fill>
            </x14:dxf>
          </x14:cfRule>
          <x14:cfRule type="expression" priority="18457" stopIfTrue="1" id="{63AB5B59-7F2F-4BF1-90F7-88C965AC1526}">
            <xm:f>AND(IF(T25&lt;'Plan de Accion 2018'!BB99,T25&lt;&gt;"N/A"))</xm:f>
            <x14:dxf>
              <fill>
                <patternFill>
                  <bgColor indexed="10"/>
                </patternFill>
              </fill>
            </x14:dxf>
          </x14:cfRule>
          <xm:sqref>T25:T28</xm:sqref>
        </x14:conditionalFormatting>
        <x14:conditionalFormatting xmlns:xm="http://schemas.microsoft.com/office/excel/2006/main">
          <x14:cfRule type="expression" priority="19517" id="{BFD469F7-0A1A-4274-8A68-F7F2BB789863}">
            <xm:f>AND(IF(L112&gt;'Plan de Accion 2018'!AH9,L112&lt;&gt;¨N/A¨))</xm:f>
            <x14:dxf>
              <fill>
                <patternFill>
                  <bgColor theme="1" tint="0.499984740745262"/>
                </patternFill>
              </fill>
            </x14:dxf>
          </x14:cfRule>
          <x14:cfRule type="expression" priority="19518" stopIfTrue="1" id="{27FEA089-7B80-48AC-B3DE-7B6EA4C1C3F9}">
            <xm:f>AND(IF(L112='Plan de Accion 2018'!AH9,L112&lt;&gt;"N/A"))</xm:f>
            <x14:dxf>
              <fill>
                <patternFill>
                  <bgColor rgb="FF00B050"/>
                </patternFill>
              </fill>
            </x14:dxf>
          </x14:cfRule>
          <x14:cfRule type="expression" priority="19519" stopIfTrue="1" id="{EE7586B8-52AB-4CA1-8884-4C2164FBC7C9}">
            <xm:f>AND(IF(L112&lt;'Plan de Accion 2018'!AH9,L112&lt;&gt;"N/A"))</xm:f>
            <x14:dxf>
              <fill>
                <patternFill>
                  <bgColor indexed="10"/>
                </patternFill>
              </fill>
            </x14:dxf>
          </x14:cfRule>
          <xm:sqref>L112:L113</xm:sqref>
        </x14:conditionalFormatting>
        <x14:conditionalFormatting xmlns:xm="http://schemas.microsoft.com/office/excel/2006/main">
          <x14:cfRule type="expression" priority="19631" id="{39F45714-7368-4451-852B-2769B81067F3}">
            <xm:f>AND(IF(P112&gt;'Plan de Accion 2018'!AR9,P112&lt;&gt;¨N/A¨))</xm:f>
            <x14:dxf>
              <fill>
                <patternFill>
                  <bgColor theme="1" tint="0.499984740745262"/>
                </patternFill>
              </fill>
            </x14:dxf>
          </x14:cfRule>
          <x14:cfRule type="expression" priority="19632" stopIfTrue="1" id="{A21E42F5-E188-4917-864F-7929ABE4FEAF}">
            <xm:f>AND(IF(P112='Plan de Accion 2018'!AR9,P112&lt;&gt;"N/A"))</xm:f>
            <x14:dxf>
              <fill>
                <patternFill>
                  <bgColor rgb="FF00B050"/>
                </patternFill>
              </fill>
            </x14:dxf>
          </x14:cfRule>
          <x14:cfRule type="expression" priority="19633" stopIfTrue="1" id="{54CAC44D-0D31-4D12-9F3C-D27FA10142B9}">
            <xm:f>AND(IF(P112&lt;'Plan de Accion 2018'!AR9,P112&lt;&gt;"N/A"))</xm:f>
            <x14:dxf>
              <fill>
                <patternFill>
                  <bgColor indexed="10"/>
                </patternFill>
              </fill>
            </x14:dxf>
          </x14:cfRule>
          <xm:sqref>P112:P113</xm:sqref>
        </x14:conditionalFormatting>
        <x14:conditionalFormatting xmlns:xm="http://schemas.microsoft.com/office/excel/2006/main">
          <x14:cfRule type="expression" priority="19739" id="{5073F1AF-3CD9-4F21-8B84-D3DD5F5D1943}">
            <xm:f>AND(IF(T112&gt;'Plan de Accion 2018'!BB9,T112&lt;&gt;¨N/A¨))</xm:f>
            <x14:dxf>
              <fill>
                <patternFill>
                  <bgColor theme="1" tint="0.499984740745262"/>
                </patternFill>
              </fill>
            </x14:dxf>
          </x14:cfRule>
          <x14:cfRule type="expression" priority="19740" stopIfTrue="1" id="{767518DC-8C31-42E8-A090-0551748A2987}">
            <xm:f>AND(IF(T112='Plan de Accion 2018'!BB9,T112&lt;&gt;"N/A"))</xm:f>
            <x14:dxf>
              <fill>
                <patternFill>
                  <bgColor rgb="FF00B050"/>
                </patternFill>
              </fill>
            </x14:dxf>
          </x14:cfRule>
          <x14:cfRule type="expression" priority="19741" stopIfTrue="1" id="{44B32A7A-BD11-49C1-8FEF-7804C43A49B9}">
            <xm:f>AND(IF(T112&lt;'Plan de Accion 2018'!BB9,T112&lt;&gt;"N/A"))</xm:f>
            <x14:dxf>
              <fill>
                <patternFill>
                  <bgColor indexed="10"/>
                </patternFill>
              </fill>
            </x14:dxf>
          </x14:cfRule>
          <xm:sqref>T112:T113</xm:sqref>
        </x14:conditionalFormatting>
        <x14:conditionalFormatting xmlns:xm="http://schemas.microsoft.com/office/excel/2006/main">
          <x14:cfRule type="expression" priority="20267" id="{C3D746FB-B067-43E2-8497-7D15459BC2FE}">
            <xm:f>AND(IF(H23&gt;'Plan de Accion 2018'!W111,I10&lt;&gt;¨N/A¨))</xm:f>
            <x14:dxf>
              <fill>
                <patternFill>
                  <bgColor theme="1" tint="0.499984740745262"/>
                </patternFill>
              </fill>
            </x14:dxf>
          </x14:cfRule>
          <x14:cfRule type="expression" priority="20268" stopIfTrue="1" id="{CB3369B6-CA2E-4962-B9C1-DFDA26016809}">
            <xm:f>AND(IF(H23='Plan de Accion 2018'!W111,H23&lt;&gt;"N/A"))</xm:f>
            <x14:dxf>
              <fill>
                <patternFill>
                  <bgColor rgb="FF00B050"/>
                </patternFill>
              </fill>
            </x14:dxf>
          </x14:cfRule>
          <x14:cfRule type="expression" priority="20269" stopIfTrue="1" id="{A6F0BF26-2AB9-41C6-9DF1-C2079361EB2F}">
            <xm:f>AND(IF(H23&lt;'Plan de Accion 2018'!W111,H23&lt;&gt;"N/A"))</xm:f>
            <x14:dxf>
              <fill>
                <patternFill>
                  <bgColor indexed="10"/>
                </patternFill>
              </fill>
            </x14:dxf>
          </x14:cfRule>
          <xm:sqref>H23</xm:sqref>
        </x14:conditionalFormatting>
        <x14:conditionalFormatting xmlns:xm="http://schemas.microsoft.com/office/excel/2006/main">
          <x14:cfRule type="expression" priority="22856" id="{3F097174-46F5-49A9-9A2F-56D977F79B80}">
            <xm:f>AND(IF(H118&gt;'Plan de Accion 2018'!X48,H118&lt;&gt;¨N/A¨))</xm:f>
            <x14:dxf>
              <fill>
                <patternFill>
                  <bgColor theme="1" tint="0.499984740745262"/>
                </patternFill>
              </fill>
            </x14:dxf>
          </x14:cfRule>
          <x14:cfRule type="expression" priority="22857" stopIfTrue="1" id="{6AB1EBAD-47AB-46EF-BFC9-023E4C249536}">
            <xm:f>AND(IF(H118='Plan de Accion 2018'!X48,H118&lt;&gt;"N/A"))</xm:f>
            <x14:dxf>
              <fill>
                <patternFill>
                  <bgColor rgb="FF00B050"/>
                </patternFill>
              </fill>
            </x14:dxf>
          </x14:cfRule>
          <x14:cfRule type="expression" priority="22858" stopIfTrue="1" id="{7537C9B6-6D2B-493F-A2DA-15B8B27AEF45}">
            <xm:f>AND(IF(H118&lt;'Plan de Accion 2018'!X48,H118&lt;&gt;"N/A"))</xm:f>
            <x14:dxf>
              <fill>
                <patternFill>
                  <bgColor indexed="10"/>
                </patternFill>
              </fill>
            </x14:dxf>
          </x14:cfRule>
          <xm:sqref>H193:H194 H118:H132</xm:sqref>
        </x14:conditionalFormatting>
        <x14:conditionalFormatting xmlns:xm="http://schemas.microsoft.com/office/excel/2006/main">
          <x14:cfRule type="expression" priority="23039" id="{7E161275-247C-4DB8-BD6A-E08C157FD714}">
            <xm:f>AND(IF(L120&gt;'Plan de Accion 2018'!AH50,L120&lt;&gt;¨N/A¨))</xm:f>
            <x14:dxf>
              <fill>
                <patternFill>
                  <bgColor theme="1" tint="0.499984740745262"/>
                </patternFill>
              </fill>
            </x14:dxf>
          </x14:cfRule>
          <x14:cfRule type="expression" priority="23040" stopIfTrue="1" id="{6A7F13AD-306E-4D00-A2CC-AA0F8C12D183}">
            <xm:f>AND(IF(L120='Plan de Accion 2018'!AH50,L120&lt;&gt;"N/A"))</xm:f>
            <x14:dxf>
              <fill>
                <patternFill>
                  <bgColor rgb="FF00B050"/>
                </patternFill>
              </fill>
            </x14:dxf>
          </x14:cfRule>
          <x14:cfRule type="expression" priority="23041" stopIfTrue="1" id="{4B452FC1-90BB-4624-A6F2-FE094EB34D6B}">
            <xm:f>AND(IF(L120&lt;'Plan de Accion 2018'!AH50,L120&lt;&gt;"N/A"))</xm:f>
            <x14:dxf>
              <fill>
                <patternFill>
                  <bgColor indexed="10"/>
                </patternFill>
              </fill>
            </x14:dxf>
          </x14:cfRule>
          <xm:sqref>L193:L194 L120:L132</xm:sqref>
        </x14:conditionalFormatting>
        <x14:conditionalFormatting xmlns:xm="http://schemas.microsoft.com/office/excel/2006/main">
          <x14:cfRule type="expression" priority="23261" id="{9301CE03-495E-4346-B2A2-D47C47ABBA3F}">
            <xm:f>AND(IF(P193&gt;'Plan de Accion 2018'!AR123,P193&lt;&gt;¨N/A¨))</xm:f>
            <x14:dxf>
              <fill>
                <patternFill>
                  <bgColor theme="1" tint="0.499984740745262"/>
                </patternFill>
              </fill>
            </x14:dxf>
          </x14:cfRule>
          <x14:cfRule type="expression" priority="23262" stopIfTrue="1" id="{6E156D7F-CDCD-4515-B780-1148A4AD17B3}">
            <xm:f>AND(IF(P193='Plan de Accion 2018'!AR123,P193&lt;&gt;"N/A"))</xm:f>
            <x14:dxf>
              <fill>
                <patternFill>
                  <bgColor rgb="FF00B050"/>
                </patternFill>
              </fill>
            </x14:dxf>
          </x14:cfRule>
          <x14:cfRule type="expression" priority="23263" stopIfTrue="1" id="{DBF53FE7-75D3-432E-92EB-3D31331EBA93}">
            <xm:f>AND(IF(P193&lt;'Plan de Accion 2018'!AR123,P193&lt;&gt;"N/A"))</xm:f>
            <x14:dxf>
              <fill>
                <patternFill>
                  <bgColor indexed="10"/>
                </patternFill>
              </fill>
            </x14:dxf>
          </x14:cfRule>
          <xm:sqref>P193:P194</xm:sqref>
        </x14:conditionalFormatting>
        <x14:conditionalFormatting xmlns:xm="http://schemas.microsoft.com/office/excel/2006/main">
          <x14:cfRule type="expression" priority="23360" id="{D738C595-0AB1-410B-A82F-B93BCE90122F}">
            <xm:f>AND(IF(T118&gt;'Plan de Accion 2018'!BB48,T118&lt;&gt;¨N/A¨))</xm:f>
            <x14:dxf>
              <fill>
                <patternFill>
                  <bgColor theme="1" tint="0.499984740745262"/>
                </patternFill>
              </fill>
            </x14:dxf>
          </x14:cfRule>
          <x14:cfRule type="expression" priority="23361" stopIfTrue="1" id="{8B858AC2-8231-453C-A5E2-30898E1005DB}">
            <xm:f>AND(IF(T118='Plan de Accion 2018'!BB48,T118&lt;&gt;"N/A"))</xm:f>
            <x14:dxf>
              <fill>
                <patternFill>
                  <bgColor rgb="FF00B050"/>
                </patternFill>
              </fill>
            </x14:dxf>
          </x14:cfRule>
          <x14:cfRule type="expression" priority="23362" stopIfTrue="1" id="{E92F9A76-B53A-40C2-9813-3DB56118F4F4}">
            <xm:f>AND(IF(T118&lt;'Plan de Accion 2018'!BB48,T118&lt;&gt;"N/A"))</xm:f>
            <x14:dxf>
              <fill>
                <patternFill>
                  <bgColor indexed="10"/>
                </patternFill>
              </fill>
            </x14:dxf>
          </x14:cfRule>
          <xm:sqref>T193:T194 T118:T132</xm:sqref>
        </x14:conditionalFormatting>
        <x14:conditionalFormatting xmlns:xm="http://schemas.microsoft.com/office/excel/2006/main">
          <x14:cfRule type="expression" priority="23582" id="{8166AEC4-BA14-4974-9BBE-9627870EB103}">
            <xm:f>AND(IF(P82&gt;'Plan de Accion 2018'!AR125,P82&lt;&gt;¨N/A¨))</xm:f>
            <x14:dxf>
              <fill>
                <patternFill>
                  <bgColor theme="1" tint="0.499984740745262"/>
                </patternFill>
              </fill>
            </x14:dxf>
          </x14:cfRule>
          <x14:cfRule type="expression" priority="23583" stopIfTrue="1" id="{0524BA59-1854-4808-B4C0-28B751660251}">
            <xm:f>AND(IF(P82='Plan de Accion 2018'!AR150,P82&lt;&gt;"N/A"))</xm:f>
            <x14:dxf>
              <fill>
                <patternFill>
                  <bgColor rgb="FF00B050"/>
                </patternFill>
              </fill>
            </x14:dxf>
          </x14:cfRule>
          <x14:cfRule type="expression" priority="23584" stopIfTrue="1" id="{CB1D1036-2F78-4D6F-8468-610DBC79BF90}">
            <xm:f>AND(IF(P82&lt;'Plan de Accion 2018'!AR150,P82&lt;&gt;"N/A"))</xm:f>
            <x14:dxf>
              <fill>
                <patternFill>
                  <bgColor indexed="10"/>
                </patternFill>
              </fill>
            </x14:dxf>
          </x14:cfRule>
          <xm:sqref>P82 P87</xm:sqref>
        </x14:conditionalFormatting>
        <x14:conditionalFormatting xmlns:xm="http://schemas.microsoft.com/office/excel/2006/main">
          <x14:cfRule type="expression" priority="23585" id="{81AB846C-760D-4A9C-A83B-C76A477DA501}">
            <xm:f>AND(IF(L118&gt;'Plan de Accion 2018'!AH48,L118&lt;&gt;¨N/A¨))</xm:f>
            <x14:dxf>
              <fill>
                <patternFill>
                  <bgColor theme="1" tint="0.499984740745262"/>
                </patternFill>
              </fill>
            </x14:dxf>
          </x14:cfRule>
          <x14:cfRule type="expression" priority="23586" stopIfTrue="1" id="{199DECBF-E25A-4C0F-BA3F-4ECA69396AA4}">
            <xm:f>AND(IF(L118='Plan de Accion 2018'!AH150,L118&lt;&gt;"N/A"))</xm:f>
            <x14:dxf>
              <fill>
                <patternFill>
                  <bgColor rgb="FF00B050"/>
                </patternFill>
              </fill>
            </x14:dxf>
          </x14:cfRule>
          <x14:cfRule type="expression" priority="23587" stopIfTrue="1" id="{0A33EFD9-16D2-4B10-80C8-00D134733268}">
            <xm:f>AND(IF(L118&lt;'Plan de Accion 2018'!AH150,L118&lt;&gt;"N/A"))</xm:f>
            <x14:dxf>
              <fill>
                <patternFill>
                  <bgColor indexed="10"/>
                </patternFill>
              </fill>
            </x14:dxf>
          </x14:cfRule>
          <xm:sqref>L118</xm:sqref>
        </x14:conditionalFormatting>
        <x14:conditionalFormatting xmlns:xm="http://schemas.microsoft.com/office/excel/2006/main">
          <x14:cfRule type="expression" priority="23588" id="{3EB21911-3DAB-44BC-9A51-EEE875571E12}">
            <xm:f>AND(IF(P118&gt;'Plan de Accion 2018'!AR150,P118&lt;&gt;¨N/A¨))</xm:f>
            <x14:dxf>
              <fill>
                <patternFill>
                  <bgColor theme="1" tint="0.499984740745262"/>
                </patternFill>
              </fill>
            </x14:dxf>
          </x14:cfRule>
          <x14:cfRule type="expression" priority="23589" stopIfTrue="1" id="{E7F70A3E-131C-4FBE-AE60-C9CCF414207F}">
            <xm:f>AND(IF(P118='Plan de Accion 2018'!AR48,P118&lt;&gt;"N/A"))</xm:f>
            <x14:dxf>
              <fill>
                <patternFill>
                  <bgColor rgb="FF00B050"/>
                </patternFill>
              </fill>
            </x14:dxf>
          </x14:cfRule>
          <x14:cfRule type="expression" priority="23590" stopIfTrue="1" id="{66ACA22A-9ABE-4CAD-828A-8444950DE5EE}">
            <xm:f>AND(IF(P118&lt;'Plan de Accion 2018'!AR48,P118&lt;&gt;"N/A"))</xm:f>
            <x14:dxf>
              <fill>
                <patternFill>
                  <bgColor indexed="10"/>
                </patternFill>
              </fill>
            </x14:dxf>
          </x14:cfRule>
          <xm:sqref>P118</xm:sqref>
        </x14:conditionalFormatting>
        <x14:conditionalFormatting xmlns:xm="http://schemas.microsoft.com/office/excel/2006/main">
          <x14:cfRule type="expression" priority="24590" id="{8166AEC4-BA14-4974-9BBE-9627870EB103}">
            <xm:f>AND(IF(P83&gt;'Plan de Accion 2018'!AR126,P83&lt;&gt;¨N/A¨))</xm:f>
            <x14:dxf>
              <fill>
                <patternFill>
                  <bgColor theme="1" tint="0.499984740745262"/>
                </patternFill>
              </fill>
            </x14:dxf>
          </x14:cfRule>
          <x14:cfRule type="expression" priority="24591" stopIfTrue="1" id="{0524BA59-1854-4808-B4C0-28B751660251}">
            <xm:f>AND(IF(P83='Plan de Accion 2018'!AR153,P83&lt;&gt;"N/A"))</xm:f>
            <x14:dxf>
              <fill>
                <patternFill>
                  <bgColor rgb="FF00B050"/>
                </patternFill>
              </fill>
            </x14:dxf>
          </x14:cfRule>
          <x14:cfRule type="expression" priority="24592" stopIfTrue="1" id="{CB1D1036-2F78-4D6F-8468-610DBC79BF90}">
            <xm:f>AND(IF(P83&lt;'Plan de Accion 2018'!AR153,P83&lt;&gt;"N/A"))</xm:f>
            <x14:dxf>
              <fill>
                <patternFill>
                  <bgColor indexed="10"/>
                </patternFill>
              </fill>
            </x14:dxf>
          </x14:cfRule>
          <xm:sqref>P83</xm:sqref>
        </x14:conditionalFormatting>
        <x14:conditionalFormatting xmlns:xm="http://schemas.microsoft.com/office/excel/2006/main">
          <x14:cfRule type="expression" priority="24596" id="{81AB846C-760D-4A9C-A83B-C76A477DA501}">
            <xm:f>AND(IF(L119&gt;'Plan de Accion 2018'!AH49,L119&lt;&gt;¨N/A¨))</xm:f>
            <x14:dxf>
              <fill>
                <patternFill>
                  <bgColor theme="1" tint="0.499984740745262"/>
                </patternFill>
              </fill>
            </x14:dxf>
          </x14:cfRule>
          <x14:cfRule type="expression" priority="24597" stopIfTrue="1" id="{199DECBF-E25A-4C0F-BA3F-4ECA69396AA4}">
            <xm:f>AND(IF(L119='Plan de Accion 2018'!AH153,L119&lt;&gt;"N/A"))</xm:f>
            <x14:dxf>
              <fill>
                <patternFill>
                  <bgColor rgb="FF00B050"/>
                </patternFill>
              </fill>
            </x14:dxf>
          </x14:cfRule>
          <x14:cfRule type="expression" priority="24598" stopIfTrue="1" id="{0A33EFD9-16D2-4B10-80C8-00D134733268}">
            <xm:f>AND(IF(L119&lt;'Plan de Accion 2018'!AH153,L119&lt;&gt;"N/A"))</xm:f>
            <x14:dxf>
              <fill>
                <patternFill>
                  <bgColor indexed="10"/>
                </patternFill>
              </fill>
            </x14:dxf>
          </x14:cfRule>
          <xm:sqref>L119</xm:sqref>
        </x14:conditionalFormatting>
        <x14:conditionalFormatting xmlns:xm="http://schemas.microsoft.com/office/excel/2006/main">
          <x14:cfRule type="expression" priority="26639" id="{3EB21911-3DAB-44BC-9A51-EEE875571E12}">
            <xm:f>AND(IF(P119&gt;'Plan de Accion 2018'!AR153,P119&lt;&gt;¨N/A¨))</xm:f>
            <x14:dxf>
              <fill>
                <patternFill>
                  <bgColor theme="1" tint="0.499984740745262"/>
                </patternFill>
              </fill>
            </x14:dxf>
          </x14:cfRule>
          <x14:cfRule type="expression" priority="26640" stopIfTrue="1" id="{E7F70A3E-131C-4FBE-AE60-C9CCF414207F}">
            <xm:f>AND(IF(P119='Plan de Accion 2018'!AR49,P119&lt;&gt;"N/A"))</xm:f>
            <x14:dxf>
              <fill>
                <patternFill>
                  <bgColor rgb="FF00B050"/>
                </patternFill>
              </fill>
            </x14:dxf>
          </x14:cfRule>
          <x14:cfRule type="expression" priority="26641" stopIfTrue="1" id="{66ACA22A-9ABE-4CAD-828A-8444950DE5EE}">
            <xm:f>AND(IF(P119&lt;'Plan de Accion 2018'!AR49,P119&lt;&gt;"N/A"))</xm:f>
            <x14:dxf>
              <fill>
                <patternFill>
                  <bgColor indexed="10"/>
                </patternFill>
              </fill>
            </x14:dxf>
          </x14:cfRule>
          <xm:sqref>P119:P121</xm:sqref>
        </x14:conditionalFormatting>
        <x14:conditionalFormatting xmlns:xm="http://schemas.microsoft.com/office/excel/2006/main">
          <x14:cfRule type="expression" priority="27683" id="{3EB21911-3DAB-44BC-9A51-EEE875571E12}">
            <xm:f>AND(IF(P122&gt;'Plan de Accion 2018'!#REF!,P122&lt;&gt;¨N/A¨))</xm:f>
            <x14:dxf>
              <fill>
                <patternFill>
                  <bgColor theme="1" tint="0.499984740745262"/>
                </patternFill>
              </fill>
            </x14:dxf>
          </x14:cfRule>
          <x14:cfRule type="expression" priority="27684" stopIfTrue="1" id="{E7F70A3E-131C-4FBE-AE60-C9CCF414207F}">
            <xm:f>AND(IF(P122='Plan de Accion 2018'!AR52,P122&lt;&gt;"N/A"))</xm:f>
            <x14:dxf>
              <fill>
                <patternFill>
                  <bgColor rgb="FF00B050"/>
                </patternFill>
              </fill>
            </x14:dxf>
          </x14:cfRule>
          <x14:cfRule type="expression" priority="27685" stopIfTrue="1" id="{66ACA22A-9ABE-4CAD-828A-8444950DE5EE}">
            <xm:f>AND(IF(P122&lt;'Plan de Accion 2018'!AR52,P122&lt;&gt;"N/A"))</xm:f>
            <x14:dxf>
              <fill>
                <patternFill>
                  <bgColor indexed="10"/>
                </patternFill>
              </fill>
            </x14:dxf>
          </x14:cfRule>
          <xm:sqref>P122:P128</xm:sqref>
        </x14:conditionalFormatting>
        <x14:conditionalFormatting xmlns:xm="http://schemas.microsoft.com/office/excel/2006/main">
          <x14:cfRule type="expression" priority="29576" id="{454929CB-B2BE-4B82-8D51-7FFADC28FE7B}">
            <xm:f>AND(IF(H96&gt;'Plan de Accion 2018'!X48,H96&lt;&gt;¨N/A¨))</xm:f>
            <x14:dxf>
              <fill>
                <patternFill>
                  <bgColor theme="1" tint="0.499984740745262"/>
                </patternFill>
              </fill>
            </x14:dxf>
          </x14:cfRule>
          <x14:cfRule type="expression" priority="29577" stopIfTrue="1" id="{BF072DE8-3409-4472-9505-577D90055B9D}">
            <xm:f>AND(IF(H96='Plan de Accion 2018'!X48,H96&lt;&gt;"N/A"))</xm:f>
            <x14:dxf>
              <fill>
                <patternFill>
                  <bgColor rgb="FF00B050"/>
                </patternFill>
              </fill>
            </x14:dxf>
          </x14:cfRule>
          <x14:cfRule type="expression" priority="29578" stopIfTrue="1" id="{95D317B6-7C36-4C81-8309-8AC8F818E60E}">
            <xm:f>AND(IF(H96&lt;'Plan de Accion 2018'!X48,H96&lt;&gt;"N/A"))</xm:f>
            <x14:dxf>
              <fill>
                <patternFill>
                  <bgColor indexed="10"/>
                </patternFill>
              </fill>
            </x14:dxf>
          </x14:cfRule>
          <xm:sqref>H96:H97</xm:sqref>
        </x14:conditionalFormatting>
        <x14:conditionalFormatting xmlns:xm="http://schemas.microsoft.com/office/excel/2006/main">
          <x14:cfRule type="expression" priority="29675" id="{D98485B0-A829-4DD7-85D9-8DA6D7CCC5BA}">
            <xm:f>AND(IF(L96&gt;'Plan de Accion 2018'!AH48,L96&lt;&gt;¨N/A¨))</xm:f>
            <x14:dxf>
              <fill>
                <patternFill>
                  <bgColor theme="1" tint="0.499984740745262"/>
                </patternFill>
              </fill>
            </x14:dxf>
          </x14:cfRule>
          <x14:cfRule type="expression" priority="29676" stopIfTrue="1" id="{9307B8D1-B8E1-4DBB-B56C-2F037F4C94A1}">
            <xm:f>AND(IF(L96='Plan de Accion 2018'!AH48,L96&lt;&gt;"N/A"))</xm:f>
            <x14:dxf>
              <fill>
                <patternFill>
                  <bgColor rgb="FF00B050"/>
                </patternFill>
              </fill>
            </x14:dxf>
          </x14:cfRule>
          <x14:cfRule type="expression" priority="29677" stopIfTrue="1" id="{7B74C219-9C67-4EB3-AE05-4E03690C1723}">
            <xm:f>AND(IF(L96&lt;'Plan de Accion 2018'!AH48,L96&lt;&gt;"N/A"))</xm:f>
            <x14:dxf>
              <fill>
                <patternFill>
                  <bgColor indexed="10"/>
                </patternFill>
              </fill>
            </x14:dxf>
          </x14:cfRule>
          <xm:sqref>L96:L97</xm:sqref>
        </x14:conditionalFormatting>
        <x14:conditionalFormatting xmlns:xm="http://schemas.microsoft.com/office/excel/2006/main">
          <x14:cfRule type="expression" priority="29762" id="{65AF48CA-FC9D-4E42-AECB-8D612DC1476F}">
            <xm:f>AND(IF(P96&gt;'Plan de Accion 2018'!AR48,P96&lt;&gt;¨N/A¨))</xm:f>
            <x14:dxf>
              <fill>
                <patternFill>
                  <bgColor theme="1" tint="0.499984740745262"/>
                </patternFill>
              </fill>
            </x14:dxf>
          </x14:cfRule>
          <x14:cfRule type="expression" priority="29763" stopIfTrue="1" id="{DE3A9B37-2057-47BE-832F-CD31597234B4}">
            <xm:f>AND(IF(P96='Plan de Accion 2018'!AR48,P96&lt;&gt;"N/A"))</xm:f>
            <x14:dxf>
              <fill>
                <patternFill>
                  <bgColor rgb="FF00B050"/>
                </patternFill>
              </fill>
            </x14:dxf>
          </x14:cfRule>
          <x14:cfRule type="expression" priority="29764" stopIfTrue="1" id="{01F47C49-371A-4783-8FE8-9CF46627B5B5}">
            <xm:f>AND(IF(P96&lt;'Plan de Accion 2018'!AR48,P96&lt;&gt;"N/A"))</xm:f>
            <x14:dxf>
              <fill>
                <patternFill>
                  <bgColor indexed="10"/>
                </patternFill>
              </fill>
            </x14:dxf>
          </x14:cfRule>
          <xm:sqref>P96:P97</xm:sqref>
        </x14:conditionalFormatting>
        <x14:conditionalFormatting xmlns:xm="http://schemas.microsoft.com/office/excel/2006/main">
          <x14:cfRule type="expression" priority="29840" id="{6D896BDB-6D5B-4222-93E6-E0259719579B}">
            <xm:f>AND(IF(T96&gt;'Plan de Accion 2018'!BB48,T96&lt;&gt;¨N/A¨))</xm:f>
            <x14:dxf>
              <fill>
                <patternFill>
                  <bgColor theme="1" tint="0.499984740745262"/>
                </patternFill>
              </fill>
            </x14:dxf>
          </x14:cfRule>
          <x14:cfRule type="expression" priority="29841" stopIfTrue="1" id="{2CA64479-C4F8-459E-9FDD-2B5B5F34A102}">
            <xm:f>AND(IF(T96='Plan de Accion 2018'!BB48,T96&lt;&gt;"N/A"))</xm:f>
            <x14:dxf>
              <fill>
                <patternFill>
                  <bgColor rgb="FF00B050"/>
                </patternFill>
              </fill>
            </x14:dxf>
          </x14:cfRule>
          <x14:cfRule type="expression" priority="29842" stopIfTrue="1" id="{2121FBCC-C566-4579-BB83-8963027BF904}">
            <xm:f>AND(IF(T96&lt;'Plan de Accion 2018'!BB48,T96&lt;&gt;"N/A"))</xm:f>
            <x14:dxf>
              <fill>
                <patternFill>
                  <bgColor indexed="10"/>
                </patternFill>
              </fill>
            </x14:dxf>
          </x14:cfRule>
          <xm:sqref>T96:T97</xm:sqref>
        </x14:conditionalFormatting>
        <x14:conditionalFormatting xmlns:xm="http://schemas.microsoft.com/office/excel/2006/main">
          <x14:cfRule type="expression" priority="29864" id="{AA6B8B71-6CA3-4624-8BE8-0ABCD8C6BAFC}">
            <xm:f>AND(IF(H101&gt;'Plan de Accion 2018'!X68,H101&lt;&gt;¨N/A¨))</xm:f>
            <x14:dxf>
              <fill>
                <patternFill>
                  <bgColor theme="1" tint="0.499984740745262"/>
                </patternFill>
              </fill>
            </x14:dxf>
          </x14:cfRule>
          <x14:cfRule type="expression" priority="29865" stopIfTrue="1" id="{58A02C06-8FED-409A-B81D-C1A8C830FAD6}">
            <xm:f>AND(IF(H101='Plan de Accion 2018'!X68,H101&lt;&gt;"N/A"))</xm:f>
            <x14:dxf>
              <fill>
                <patternFill>
                  <bgColor rgb="FF00B050"/>
                </patternFill>
              </fill>
            </x14:dxf>
          </x14:cfRule>
          <x14:cfRule type="expression" priority="29866" stopIfTrue="1" id="{8549CAFC-6D9A-4DA6-84B1-AD2D1DEF1DC2}">
            <xm:f>AND(IF(H101&lt;'Plan de Accion 2018'!X68,H101&lt;&gt;"N/A"))</xm:f>
            <x14:dxf>
              <fill>
                <patternFill>
                  <bgColor indexed="10"/>
                </patternFill>
              </fill>
            </x14:dxf>
          </x14:cfRule>
          <xm:sqref>H101:H102</xm:sqref>
        </x14:conditionalFormatting>
        <x14:conditionalFormatting xmlns:xm="http://schemas.microsoft.com/office/excel/2006/main">
          <x14:cfRule type="expression" priority="29867" id="{B5A1B21A-B787-497F-AFE1-FED868169529}">
            <xm:f>AND(IF(L101&gt;'Plan de Accion 2018'!AH68,L101&lt;&gt;¨N/A¨))</xm:f>
            <x14:dxf>
              <fill>
                <patternFill>
                  <bgColor theme="1" tint="0.499984740745262"/>
                </patternFill>
              </fill>
            </x14:dxf>
          </x14:cfRule>
          <x14:cfRule type="expression" priority="29868" stopIfTrue="1" id="{913F8EE4-3DA5-481D-BB11-137C5BACE52D}">
            <xm:f>AND(IF(L101='Plan de Accion 2018'!AH68,L101&lt;&gt;"N/A"))</xm:f>
            <x14:dxf>
              <fill>
                <patternFill>
                  <bgColor rgb="FF00B050"/>
                </patternFill>
              </fill>
            </x14:dxf>
          </x14:cfRule>
          <x14:cfRule type="expression" priority="29869" stopIfTrue="1" id="{EABC29BF-EB97-4E9E-A18B-8C16E74C923D}">
            <xm:f>AND(IF(L101&lt;'Plan de Accion 2018'!AH68,L101&lt;&gt;"N/A"))</xm:f>
            <x14:dxf>
              <fill>
                <patternFill>
                  <bgColor indexed="10"/>
                </patternFill>
              </fill>
            </x14:dxf>
          </x14:cfRule>
          <xm:sqref>L101:L102</xm:sqref>
        </x14:conditionalFormatting>
        <x14:conditionalFormatting xmlns:xm="http://schemas.microsoft.com/office/excel/2006/main">
          <x14:cfRule type="expression" priority="29870" id="{009F15A8-25CD-4BC9-9B92-391AEFBD0CF1}">
            <xm:f>AND(IF(P101&gt;'Plan de Accion 2018'!AR68,P101&lt;&gt;¨N/A¨))</xm:f>
            <x14:dxf>
              <fill>
                <patternFill>
                  <bgColor theme="1" tint="0.499984740745262"/>
                </patternFill>
              </fill>
            </x14:dxf>
          </x14:cfRule>
          <x14:cfRule type="expression" priority="29871" stopIfTrue="1" id="{7DA5B61E-39EE-4441-A5E2-DB150D084442}">
            <xm:f>AND(IF(P101='Plan de Accion 2018'!AR68,P101&lt;&gt;"N/A"))</xm:f>
            <x14:dxf>
              <fill>
                <patternFill>
                  <bgColor rgb="FF00B050"/>
                </patternFill>
              </fill>
            </x14:dxf>
          </x14:cfRule>
          <x14:cfRule type="expression" priority="29872" stopIfTrue="1" id="{B8E6B73D-0C2B-4D4F-970A-1F5192C26B1B}">
            <xm:f>AND(IF(P101&lt;'Plan de Accion 2018'!AR68,P101&lt;&gt;"N/A"))</xm:f>
            <x14:dxf>
              <fill>
                <patternFill>
                  <bgColor indexed="10"/>
                </patternFill>
              </fill>
            </x14:dxf>
          </x14:cfRule>
          <xm:sqref>P101:P102</xm:sqref>
        </x14:conditionalFormatting>
        <x14:conditionalFormatting xmlns:xm="http://schemas.microsoft.com/office/excel/2006/main">
          <x14:cfRule type="expression" priority="29873" id="{71292F6E-594F-4C37-ADC9-7107232E8298}">
            <xm:f>AND(IF(T101&gt;'Plan de Accion 2018'!BB68,T101&lt;&gt;¨N/A¨))</xm:f>
            <x14:dxf>
              <fill>
                <patternFill>
                  <bgColor theme="1" tint="0.499984740745262"/>
                </patternFill>
              </fill>
            </x14:dxf>
          </x14:cfRule>
          <x14:cfRule type="expression" priority="29874" stopIfTrue="1" id="{CC32B93C-AF80-47FA-8FC5-8A1D2542E087}">
            <xm:f>AND(IF(T101='Plan de Accion 2018'!BB68,T101&lt;&gt;"N/A"))</xm:f>
            <x14:dxf>
              <fill>
                <patternFill>
                  <bgColor rgb="FF00B050"/>
                </patternFill>
              </fill>
            </x14:dxf>
          </x14:cfRule>
          <x14:cfRule type="expression" priority="29875" stopIfTrue="1" id="{CD33AF43-55A7-4B2C-AFA5-7F6CD1309980}">
            <xm:f>AND(IF(T101&lt;'Plan de Accion 2018'!BB68,T101&lt;&gt;"N/A"))</xm:f>
            <x14:dxf>
              <fill>
                <patternFill>
                  <bgColor indexed="10"/>
                </patternFill>
              </fill>
            </x14:dxf>
          </x14:cfRule>
          <xm:sqref>T101:T102</xm:sqref>
        </x14:conditionalFormatting>
        <x14:conditionalFormatting xmlns:xm="http://schemas.microsoft.com/office/excel/2006/main">
          <x14:cfRule type="expression" priority="30614" id="{7D7DE63B-5E55-4D88-AB07-4FB52BF8C37A}">
            <xm:f>AND(IF(H15&gt;'Plan de Accion 2018'!X92,H15&lt;&gt;¨N/A¨))</xm:f>
            <x14:dxf>
              <fill>
                <patternFill>
                  <bgColor theme="1" tint="0.499984740745262"/>
                </patternFill>
              </fill>
            </x14:dxf>
          </x14:cfRule>
          <x14:cfRule type="expression" priority="30615" stopIfTrue="1" id="{00000000-000E-0000-0300-0000FA060000}">
            <xm:f>AND(IF(H15='Plan de Accion 2018'!X92,H15&lt;&gt;"N/A"))</xm:f>
            <x14:dxf>
              <fill>
                <patternFill>
                  <bgColor rgb="FF00B050"/>
                </patternFill>
              </fill>
            </x14:dxf>
          </x14:cfRule>
          <x14:cfRule type="expression" priority="30616" stopIfTrue="1" id="{00000000-000E-0000-0300-0000FC060000}">
            <xm:f>AND(IF(H15&lt;'Plan de Accion 2018'!X92,H15&lt;&gt;"N/A"))</xm:f>
            <x14:dxf>
              <fill>
                <patternFill>
                  <bgColor indexed="10"/>
                </patternFill>
              </fill>
            </x14:dxf>
          </x14:cfRule>
          <xm:sqref>H15:H17</xm:sqref>
        </x14:conditionalFormatting>
        <x14:conditionalFormatting xmlns:xm="http://schemas.microsoft.com/office/excel/2006/main">
          <x14:cfRule type="expression" priority="30635" id="{9635B60D-3B78-43AA-94BF-3F988CFCC799}">
            <xm:f>AND(IF(L15&gt;'Plan de Accion 2018'!AH92,L15&lt;&gt;¨N/A¨))</xm:f>
            <x14:dxf>
              <fill>
                <patternFill>
                  <bgColor theme="1" tint="0.499984740745262"/>
                </patternFill>
              </fill>
            </x14:dxf>
          </x14:cfRule>
          <x14:cfRule type="expression" priority="30636" stopIfTrue="1" id="{404F032B-48CE-458A-9249-84803D96C9EB}">
            <xm:f>AND(IF(L15='Plan de Accion 2018'!AH92,L15&lt;&gt;"N/A"))</xm:f>
            <x14:dxf>
              <fill>
                <patternFill>
                  <bgColor rgb="FF00B050"/>
                </patternFill>
              </fill>
            </x14:dxf>
          </x14:cfRule>
          <x14:cfRule type="expression" priority="30637" stopIfTrue="1" id="{E83C4961-5DDE-4A21-9CED-7232A00AC2BA}">
            <xm:f>AND(IF(L15&lt;'Plan de Accion 2018'!AH92,L15&lt;&gt;"N/A"))</xm:f>
            <x14:dxf>
              <fill>
                <patternFill>
                  <bgColor indexed="10"/>
                </patternFill>
              </fill>
            </x14:dxf>
          </x14:cfRule>
          <xm:sqref>L15:L17</xm:sqref>
        </x14:conditionalFormatting>
        <x14:conditionalFormatting xmlns:xm="http://schemas.microsoft.com/office/excel/2006/main">
          <x14:cfRule type="expression" priority="30683" id="{1E9D69AB-0694-4271-A68A-4C2AB9749529}">
            <xm:f>AND(IF(P15&gt;'Plan de Accion 2018'!AR92,P15&lt;&gt;¨N/A¨))</xm:f>
            <x14:dxf>
              <fill>
                <patternFill>
                  <bgColor theme="1" tint="0.499984740745262"/>
                </patternFill>
              </fill>
            </x14:dxf>
          </x14:cfRule>
          <x14:cfRule type="expression" priority="30684" stopIfTrue="1" id="{4E1C9FBB-41B3-44CB-8BA4-A08122D92C7D}">
            <xm:f>AND(IF(P15='Plan de Accion 2018'!AR92,P15&lt;&gt;"N/A"))</xm:f>
            <x14:dxf>
              <fill>
                <patternFill>
                  <bgColor rgb="FF00B050"/>
                </patternFill>
              </fill>
            </x14:dxf>
          </x14:cfRule>
          <x14:cfRule type="expression" priority="30685" stopIfTrue="1" id="{D99BA996-213D-4FC8-8A8E-4DBA63D9A2A4}">
            <xm:f>AND(IF(P15&lt;'Plan de Accion 2018'!AR92,P15&lt;&gt;"N/A"))</xm:f>
            <x14:dxf>
              <fill>
                <patternFill>
                  <bgColor indexed="10"/>
                </patternFill>
              </fill>
            </x14:dxf>
          </x14:cfRule>
          <xm:sqref>P15:P17</xm:sqref>
        </x14:conditionalFormatting>
        <x14:conditionalFormatting xmlns:xm="http://schemas.microsoft.com/office/excel/2006/main">
          <x14:cfRule type="expression" priority="30686" id="{2FFED81D-AD1A-4481-837F-6CA01CE302AC}">
            <xm:f>AND(IF(T15&gt;'Plan de Accion 2018'!BB92,T15&lt;&gt;¨N/A¨))</xm:f>
            <x14:dxf>
              <fill>
                <patternFill>
                  <bgColor theme="1" tint="0.499984740745262"/>
                </patternFill>
              </fill>
            </x14:dxf>
          </x14:cfRule>
          <x14:cfRule type="expression" priority="30687" stopIfTrue="1" id="{0FEA846A-70C0-400C-BAA0-0FD9AE5191E1}">
            <xm:f>AND(IF(T15='Plan de Accion 2018'!BB92,T15&lt;&gt;"N/A"))</xm:f>
            <x14:dxf>
              <fill>
                <patternFill>
                  <bgColor rgb="FF00B050"/>
                </patternFill>
              </fill>
            </x14:dxf>
          </x14:cfRule>
          <x14:cfRule type="expression" priority="30688" stopIfTrue="1" id="{EB7A37DA-053C-4544-BFEF-0EEE9C93918E}">
            <xm:f>AND(IF(T15&lt;'Plan de Accion 2018'!BB92,T15&lt;&gt;"N/A"))</xm:f>
            <x14:dxf>
              <fill>
                <patternFill>
                  <bgColor indexed="10"/>
                </patternFill>
              </fill>
            </x14:dxf>
          </x14:cfRule>
          <xm:sqref>T15:T17</xm:sqref>
        </x14:conditionalFormatting>
        <x14:conditionalFormatting xmlns:xm="http://schemas.microsoft.com/office/excel/2006/main">
          <x14:cfRule type="expression" priority="31610" id="{3EB21911-3DAB-44BC-9A51-EEE875571E12}">
            <xm:f>AND(IF(P129&gt;'Plan de Accion 2018'!AR158,P129&lt;&gt;¨N/A¨))</xm:f>
            <x14:dxf>
              <fill>
                <patternFill>
                  <bgColor theme="1" tint="0.499984740745262"/>
                </patternFill>
              </fill>
            </x14:dxf>
          </x14:cfRule>
          <x14:cfRule type="expression" priority="31611" stopIfTrue="1" id="{E7F70A3E-131C-4FBE-AE60-C9CCF414207F}">
            <xm:f>AND(IF(P129='Plan de Accion 2018'!AR59,P129&lt;&gt;"N/A"))</xm:f>
            <x14:dxf>
              <fill>
                <patternFill>
                  <bgColor rgb="FF00B050"/>
                </patternFill>
              </fill>
            </x14:dxf>
          </x14:cfRule>
          <x14:cfRule type="expression" priority="31612" stopIfTrue="1" id="{66ACA22A-9ABE-4CAD-828A-8444950DE5EE}">
            <xm:f>AND(IF(P129&lt;'Plan de Accion 2018'!AR59,P129&lt;&gt;"N/A"))</xm:f>
            <x14:dxf>
              <fill>
                <patternFill>
                  <bgColor indexed="10"/>
                </patternFill>
              </fill>
            </x14:dxf>
          </x14:cfRule>
          <xm:sqref>P129:P132</xm:sqref>
        </x14:conditionalFormatting>
        <x14:conditionalFormatting xmlns:xm="http://schemas.microsoft.com/office/excel/2006/main">
          <x14:cfRule type="expression" priority="31634" id="{052C392E-AA47-4103-B6F0-E95620724C66}">
            <xm:f>AND(IF(H63&gt;'Plan de Accion 2018'!X42,H63&lt;&gt;¨N/A¨))</xm:f>
            <x14:dxf>
              <fill>
                <patternFill>
                  <bgColor theme="1" tint="0.499984740745262"/>
                </patternFill>
              </fill>
            </x14:dxf>
          </x14:cfRule>
          <x14:cfRule type="expression" priority="31635" stopIfTrue="1" id="{B72CA923-DECC-40D9-AC7C-4D3A8D6BB28E}">
            <xm:f>AND(IF(H63='Plan de Accion 2018'!X42,H63&lt;&gt;"N/A"))</xm:f>
            <x14:dxf>
              <fill>
                <patternFill>
                  <bgColor rgb="FF00B050"/>
                </patternFill>
              </fill>
            </x14:dxf>
          </x14:cfRule>
          <x14:cfRule type="expression" priority="31636" stopIfTrue="1" id="{CA3316FF-A988-4480-8E74-B7ABC51372FD}">
            <xm:f>AND(IF(H63&lt;'Plan de Accion 2018'!X42,H63&lt;&gt;"N/A"))</xm:f>
            <x14:dxf>
              <fill>
                <patternFill>
                  <bgColor indexed="10"/>
                </patternFill>
              </fill>
            </x14:dxf>
          </x14:cfRule>
          <xm:sqref>H94 H63</xm:sqref>
        </x14:conditionalFormatting>
        <x14:conditionalFormatting xmlns:xm="http://schemas.microsoft.com/office/excel/2006/main">
          <x14:cfRule type="expression" priority="31727" id="{4ADAEF9A-97BE-43FD-AE29-E691B36732D3}">
            <xm:f>AND(IF(L63&gt;'Plan de Accion 2018'!AH42,L63&lt;&gt;¨N/A¨))</xm:f>
            <x14:dxf>
              <fill>
                <patternFill>
                  <bgColor theme="1" tint="0.499984740745262"/>
                </patternFill>
              </fill>
            </x14:dxf>
          </x14:cfRule>
          <x14:cfRule type="expression" priority="31728" stopIfTrue="1" id="{83211002-5080-4940-81C7-34A114938341}">
            <xm:f>AND(IF(L63='Plan de Accion 2018'!AH42,L63&lt;&gt;"N/A"))</xm:f>
            <x14:dxf>
              <fill>
                <patternFill>
                  <bgColor rgb="FF00B050"/>
                </patternFill>
              </fill>
            </x14:dxf>
          </x14:cfRule>
          <x14:cfRule type="expression" priority="31729" stopIfTrue="1" id="{F325A5CF-76AD-48A0-A2DB-2FF4BEAE7C04}">
            <xm:f>AND(IF(L63&lt;'Plan de Accion 2018'!AH42,L63&lt;&gt;"N/A"))</xm:f>
            <x14:dxf>
              <fill>
                <patternFill>
                  <bgColor indexed="10"/>
                </patternFill>
              </fill>
            </x14:dxf>
          </x14:cfRule>
          <xm:sqref>L94 L63</xm:sqref>
        </x14:conditionalFormatting>
        <x14:conditionalFormatting xmlns:xm="http://schemas.microsoft.com/office/excel/2006/main">
          <x14:cfRule type="expression" priority="31808" id="{CBD4CABE-BD69-41CA-A75A-267E0931AD82}">
            <xm:f>AND(IF(P63&gt;'Plan de Accion 2018'!AR42,P63&lt;&gt;¨N/A¨))</xm:f>
            <x14:dxf>
              <fill>
                <patternFill>
                  <bgColor theme="1" tint="0.499984740745262"/>
                </patternFill>
              </fill>
            </x14:dxf>
          </x14:cfRule>
          <x14:cfRule type="expression" priority="31809" stopIfTrue="1" id="{EA243B99-C1ED-4CFC-891F-3EB62BFCC292}">
            <xm:f>AND(IF(P63='Plan de Accion 2018'!AR42,P63&lt;&gt;"N/A"))</xm:f>
            <x14:dxf>
              <fill>
                <patternFill>
                  <bgColor rgb="FF00B050"/>
                </patternFill>
              </fill>
            </x14:dxf>
          </x14:cfRule>
          <x14:cfRule type="expression" priority="31810" stopIfTrue="1" id="{1EF57BF8-53CA-42FA-95BF-87753B17536F}">
            <xm:f>AND(IF(P63&lt;'Plan de Accion 2018'!AR42,P63&lt;&gt;"N/A"))</xm:f>
            <x14:dxf>
              <fill>
                <patternFill>
                  <bgColor indexed="10"/>
                </patternFill>
              </fill>
            </x14:dxf>
          </x14:cfRule>
          <xm:sqref>P94 P63</xm:sqref>
        </x14:conditionalFormatting>
        <x14:conditionalFormatting xmlns:xm="http://schemas.microsoft.com/office/excel/2006/main">
          <x14:cfRule type="expression" priority="31880" id="{2EC01AA9-18E7-4713-844C-C138CD3CC750}">
            <xm:f>AND(IF(T63&gt;'Plan de Accion 2018'!BB42,T63&lt;&gt;¨N/A¨))</xm:f>
            <x14:dxf>
              <fill>
                <patternFill>
                  <bgColor theme="1" tint="0.499984740745262"/>
                </patternFill>
              </fill>
            </x14:dxf>
          </x14:cfRule>
          <x14:cfRule type="expression" priority="31881" stopIfTrue="1" id="{A5BA991E-B542-4B17-B359-415EC248DC6B}">
            <xm:f>AND(IF(T63='Plan de Accion 2018'!BB42,T63&lt;&gt;"N/A"))</xm:f>
            <x14:dxf>
              <fill>
                <patternFill>
                  <bgColor rgb="FF00B050"/>
                </patternFill>
              </fill>
            </x14:dxf>
          </x14:cfRule>
          <x14:cfRule type="expression" priority="31882" stopIfTrue="1" id="{4DCAA399-3F92-4452-998A-37E2B7F58234}">
            <xm:f>AND(IF(T63&lt;'Plan de Accion 2018'!BB42,T63&lt;&gt;"N/A"))</xm:f>
            <x14:dxf>
              <fill>
                <patternFill>
                  <bgColor indexed="10"/>
                </patternFill>
              </fill>
            </x14:dxf>
          </x14:cfRule>
          <xm:sqref>T94 T63</xm:sqref>
        </x14:conditionalFormatting>
        <x14:conditionalFormatting xmlns:xm="http://schemas.microsoft.com/office/excel/2006/main">
          <x14:cfRule type="expression" priority="32012" id="{A48A741E-2335-4636-8D08-7B27C3E4956C}">
            <xm:f>AND(IF(H168&gt;'Plan de Accion 2018'!X114,H168&lt;&gt;¨N/A¨))</xm:f>
            <x14:dxf>
              <fill>
                <patternFill>
                  <bgColor theme="1" tint="0.499984740745262"/>
                </patternFill>
              </fill>
            </x14:dxf>
          </x14:cfRule>
          <x14:cfRule type="expression" priority="32013" stopIfTrue="1" id="{00EE595D-D89E-431F-BE3A-5343A63E1EDB}">
            <xm:f>AND(IF(H168='Plan de Accion 2018'!X114,H168&lt;&gt;"N/A"))</xm:f>
            <x14:dxf>
              <fill>
                <patternFill>
                  <bgColor rgb="FF00B050"/>
                </patternFill>
              </fill>
            </x14:dxf>
          </x14:cfRule>
          <x14:cfRule type="expression" priority="32014" stopIfTrue="1" id="{52C94201-6FC1-4E11-B07B-06A0F9B26529}">
            <xm:f>AND(IF(H168&lt;'Plan de Accion 2018'!X114,H168&lt;&gt;"N/A"))</xm:f>
            <x14:dxf>
              <fill>
                <patternFill>
                  <bgColor indexed="10"/>
                </patternFill>
              </fill>
            </x14:dxf>
          </x14:cfRule>
          <xm:sqref>H168</xm:sqref>
        </x14:conditionalFormatting>
        <x14:conditionalFormatting xmlns:xm="http://schemas.microsoft.com/office/excel/2006/main">
          <x14:cfRule type="expression" priority="32222" id="{65B77048-8EBB-4671-A11F-AA4AB698F6A3}">
            <xm:f>AND(IF(L168&gt;'Plan de Accion 2018'!AH114,L168&lt;&gt;¨N/A¨))</xm:f>
            <x14:dxf>
              <fill>
                <patternFill>
                  <bgColor theme="1" tint="0.499984740745262"/>
                </patternFill>
              </fill>
            </x14:dxf>
          </x14:cfRule>
          <x14:cfRule type="expression" priority="32223" stopIfTrue="1" id="{6B01A7A2-E4EE-4493-B0F4-5ABBD6CC3620}">
            <xm:f>AND(IF(L168='Plan de Accion 2018'!AH114,L168&lt;&gt;"N/A"))</xm:f>
            <x14:dxf>
              <fill>
                <patternFill>
                  <bgColor rgb="FF00B050"/>
                </patternFill>
              </fill>
            </x14:dxf>
          </x14:cfRule>
          <x14:cfRule type="expression" priority="32224" stopIfTrue="1" id="{783DC5D6-163E-4602-ABB9-EEC214A0FB42}">
            <xm:f>AND(IF(L168&lt;'Plan de Accion 2018'!AH114,L168&lt;&gt;"N/A"))</xm:f>
            <x14:dxf>
              <fill>
                <patternFill>
                  <bgColor indexed="10"/>
                </patternFill>
              </fill>
            </x14:dxf>
          </x14:cfRule>
          <xm:sqref>L168</xm:sqref>
        </x14:conditionalFormatting>
        <x14:conditionalFormatting xmlns:xm="http://schemas.microsoft.com/office/excel/2006/main">
          <x14:cfRule type="expression" priority="32408" id="{101D77A3-05AE-4959-8A32-DD9C91F7F4CB}">
            <xm:f>AND(IF(P168&gt;'Plan de Accion 2018'!AR114,P168&lt;&gt;¨N/A¨))</xm:f>
            <x14:dxf>
              <fill>
                <patternFill>
                  <bgColor theme="1" tint="0.499984740745262"/>
                </patternFill>
              </fill>
            </x14:dxf>
          </x14:cfRule>
          <x14:cfRule type="expression" priority="32409" stopIfTrue="1" id="{52D6CCA1-3C6E-40BA-A293-2ACFCEE97573}">
            <xm:f>AND(IF(P168='Plan de Accion 2018'!AR114,P168&lt;&gt;"N/A"))</xm:f>
            <x14:dxf>
              <fill>
                <patternFill>
                  <bgColor rgb="FF00B050"/>
                </patternFill>
              </fill>
            </x14:dxf>
          </x14:cfRule>
          <x14:cfRule type="expression" priority="32410" stopIfTrue="1" id="{D3647766-93EF-40A7-A578-C77F2485DDFE}">
            <xm:f>AND(IF(P168&lt;'Plan de Accion 2018'!AR114,P168&lt;&gt;"N/A"))</xm:f>
            <x14:dxf>
              <fill>
                <patternFill>
                  <bgColor indexed="10"/>
                </patternFill>
              </fill>
            </x14:dxf>
          </x14:cfRule>
          <xm:sqref>P168</xm:sqref>
        </x14:conditionalFormatting>
        <x14:conditionalFormatting xmlns:xm="http://schemas.microsoft.com/office/excel/2006/main">
          <x14:cfRule type="expression" priority="32597" id="{B7BFF239-E33D-4118-A834-DF22EF33402C}">
            <xm:f>AND(IF(T168&gt;'Plan de Accion 2018'!BB114,T168&lt;&gt;¨N/A¨))</xm:f>
            <x14:dxf>
              <fill>
                <patternFill>
                  <bgColor theme="1" tint="0.499984740745262"/>
                </patternFill>
              </fill>
            </x14:dxf>
          </x14:cfRule>
          <x14:cfRule type="expression" priority="32598" stopIfTrue="1" id="{03A8B7B2-6348-43C6-9B2D-64B57D795C84}">
            <xm:f>AND(IF(T168='Plan de Accion 2018'!BB114,T168&lt;&gt;"N/A"))</xm:f>
            <x14:dxf>
              <fill>
                <patternFill>
                  <bgColor rgb="FF00B050"/>
                </patternFill>
              </fill>
            </x14:dxf>
          </x14:cfRule>
          <x14:cfRule type="expression" priority="32599" stopIfTrue="1" id="{F61726E2-2D36-41F9-84D0-F2F96F885312}">
            <xm:f>AND(IF(T168&lt;'Plan de Accion 2018'!BB114,T168&lt;&gt;"N/A"))</xm:f>
            <x14:dxf>
              <fill>
                <patternFill>
                  <bgColor indexed="10"/>
                </patternFill>
              </fill>
            </x14:dxf>
          </x14:cfRule>
          <xm:sqref>T168</xm:sqref>
        </x14:conditionalFormatting>
        <x14:conditionalFormatting xmlns:xm="http://schemas.microsoft.com/office/excel/2006/main">
          <x14:cfRule type="expression" priority="19" id="{715F769B-943D-4179-BABE-A9CE43554592}">
            <xm:f>AND(IF(H24&gt;'Plan de Accion 2018'!X110,H24&lt;&gt;¨N/A¨))</xm:f>
            <x14:dxf>
              <fill>
                <patternFill>
                  <bgColor theme="1" tint="0.499984740745262"/>
                </patternFill>
              </fill>
            </x14:dxf>
          </x14:cfRule>
          <x14:cfRule type="expression" priority="20" stopIfTrue="1" id="{BC7A8A19-273C-4FCB-A88E-8C74801685F9}">
            <xm:f>AND(IF(H24='Plan de Accion 2018'!X110,H24&lt;&gt;"N/A"))</xm:f>
            <x14:dxf>
              <fill>
                <patternFill>
                  <bgColor rgb="FF00B050"/>
                </patternFill>
              </fill>
            </x14:dxf>
          </x14:cfRule>
          <x14:cfRule type="expression" priority="21" stopIfTrue="1" id="{C3A3F560-4916-44E0-894D-E8F7428DD0E6}">
            <xm:f>AND(IF(H24&lt;'Plan de Accion 2018'!X110,H24&lt;&gt;"N/A"))</xm:f>
            <x14:dxf>
              <fill>
                <patternFill>
                  <bgColor indexed="10"/>
                </patternFill>
              </fill>
            </x14:dxf>
          </x14:cfRule>
          <xm:sqref>H24</xm:sqref>
        </x14:conditionalFormatting>
        <x14:conditionalFormatting xmlns:xm="http://schemas.microsoft.com/office/excel/2006/main">
          <x14:cfRule type="expression" priority="16" id="{889465E6-22FE-47C4-BD03-B3ED2A9B86C7}">
            <xm:f>AND(IF(H25&gt;'Plan de Accion 2018'!X111,H25&lt;&gt;¨N/A¨))</xm:f>
            <x14:dxf>
              <fill>
                <patternFill>
                  <bgColor theme="1" tint="0.499984740745262"/>
                </patternFill>
              </fill>
            </x14:dxf>
          </x14:cfRule>
          <x14:cfRule type="expression" priority="17" stopIfTrue="1" id="{EADEE605-422C-40BE-9E95-D1E5DE10CE3F}">
            <xm:f>AND(IF(H25='Plan de Accion 2018'!X111,H25&lt;&gt;"N/A"))</xm:f>
            <x14:dxf>
              <fill>
                <patternFill>
                  <bgColor rgb="FF00B050"/>
                </patternFill>
              </fill>
            </x14:dxf>
          </x14:cfRule>
          <x14:cfRule type="expression" priority="18" stopIfTrue="1" id="{12146D5A-4AF0-4983-B4DD-ED506F740166}">
            <xm:f>AND(IF(H25&lt;'Plan de Accion 2018'!X111,H25&lt;&gt;"N/A"))</xm:f>
            <x14:dxf>
              <fill>
                <patternFill>
                  <bgColor indexed="10"/>
                </patternFill>
              </fill>
            </x14:dxf>
          </x14:cfRule>
          <xm:sqref>H25</xm:sqref>
        </x14:conditionalFormatting>
        <x14:conditionalFormatting xmlns:xm="http://schemas.microsoft.com/office/excel/2006/main">
          <x14:cfRule type="expression" priority="13" id="{8F2922A9-EB1D-423A-AE15-ED00260F1CF9}">
            <xm:f>AND(IF(H26&gt;'Plan de Accion 2018'!X112,H26&lt;&gt;¨N/A¨))</xm:f>
            <x14:dxf>
              <fill>
                <patternFill>
                  <bgColor theme="1" tint="0.499984740745262"/>
                </patternFill>
              </fill>
            </x14:dxf>
          </x14:cfRule>
          <x14:cfRule type="expression" priority="14" stopIfTrue="1" id="{5B0BA982-C4E1-4C7F-9C8B-E489E7C7BA7C}">
            <xm:f>AND(IF(H26='Plan de Accion 2018'!X112,H26&lt;&gt;"N/A"))</xm:f>
            <x14:dxf>
              <fill>
                <patternFill>
                  <bgColor rgb="FF00B050"/>
                </patternFill>
              </fill>
            </x14:dxf>
          </x14:cfRule>
          <x14:cfRule type="expression" priority="15" stopIfTrue="1" id="{74D97FBF-9887-4C0D-AC33-DD6C8ED2F97B}">
            <xm:f>AND(IF(H26&lt;'Plan de Accion 2018'!X112,H26&lt;&gt;"N/A"))</xm:f>
            <x14:dxf>
              <fill>
                <patternFill>
                  <bgColor indexed="10"/>
                </patternFill>
              </fill>
            </x14:dxf>
          </x14:cfRule>
          <xm:sqref>H26</xm:sqref>
        </x14:conditionalFormatting>
        <x14:conditionalFormatting xmlns:xm="http://schemas.microsoft.com/office/excel/2006/main">
          <x14:cfRule type="expression" priority="10" id="{5EEB68BC-E7F8-4781-995A-7C0B7249C445}">
            <xm:f>AND(IF(H31&gt;'Plan de Accion 2018'!X117,H31&lt;&gt;¨N/A¨))</xm:f>
            <x14:dxf>
              <fill>
                <patternFill>
                  <bgColor theme="1" tint="0.499984740745262"/>
                </patternFill>
              </fill>
            </x14:dxf>
          </x14:cfRule>
          <x14:cfRule type="expression" priority="11" stopIfTrue="1" id="{239A957A-3631-4E98-8F98-AA8D03923CB6}">
            <xm:f>AND(IF(H31='Plan de Accion 2018'!X117,H31&lt;&gt;"N/A"))</xm:f>
            <x14:dxf>
              <fill>
                <patternFill>
                  <bgColor rgb="FF00B050"/>
                </patternFill>
              </fill>
            </x14:dxf>
          </x14:cfRule>
          <x14:cfRule type="expression" priority="12" stopIfTrue="1" id="{19C22423-227B-456A-993C-ADFF988CCE60}">
            <xm:f>AND(IF(H31&lt;'Plan de Accion 2018'!X117,H31&lt;&gt;"N/A"))</xm:f>
            <x14:dxf>
              <fill>
                <patternFill>
                  <bgColor indexed="10"/>
                </patternFill>
              </fill>
            </x14:dxf>
          </x14:cfRule>
          <xm:sqref>H31</xm:sqref>
        </x14:conditionalFormatting>
        <x14:conditionalFormatting xmlns:xm="http://schemas.microsoft.com/office/excel/2006/main">
          <x14:cfRule type="expression" priority="7" id="{5F5C6495-5B04-4EF7-B3EC-FF224D1F13CB}">
            <xm:f>AND(IF(H30&gt;'Plan de Accion 2018'!X116,H30&lt;&gt;¨N/A¨))</xm:f>
            <x14:dxf>
              <fill>
                <patternFill>
                  <bgColor theme="1" tint="0.499984740745262"/>
                </patternFill>
              </fill>
            </x14:dxf>
          </x14:cfRule>
          <x14:cfRule type="expression" priority="8" stopIfTrue="1" id="{189E143D-6F26-4949-952E-A501EE3B0697}">
            <xm:f>AND(IF(H30='Plan de Accion 2018'!X116,H30&lt;&gt;"N/A"))</xm:f>
            <x14:dxf>
              <fill>
                <patternFill>
                  <bgColor rgb="FF00B050"/>
                </patternFill>
              </fill>
            </x14:dxf>
          </x14:cfRule>
          <x14:cfRule type="expression" priority="9" stopIfTrue="1" id="{760821E7-2133-4A44-AC7D-920671439624}">
            <xm:f>AND(IF(H30&lt;'Plan de Accion 2018'!X116,H30&lt;&gt;"N/A"))</xm:f>
            <x14:dxf>
              <fill>
                <patternFill>
                  <bgColor indexed="10"/>
                </patternFill>
              </fill>
            </x14:dxf>
          </x14:cfRule>
          <xm:sqref>H30</xm:sqref>
        </x14:conditionalFormatting>
        <x14:conditionalFormatting xmlns:xm="http://schemas.microsoft.com/office/excel/2006/main">
          <x14:cfRule type="expression" priority="4" id="{1C0E298E-EC50-4B4D-8123-53E562E68154}">
            <xm:f>AND(IF(H32&gt;'Plan de Accion 2018'!X118,H32&lt;&gt;¨N/A¨))</xm:f>
            <x14:dxf>
              <fill>
                <patternFill>
                  <bgColor theme="1" tint="0.499984740745262"/>
                </patternFill>
              </fill>
            </x14:dxf>
          </x14:cfRule>
          <x14:cfRule type="expression" priority="5" stopIfTrue="1" id="{028BC0E7-641F-4E20-A387-91772FCA6D40}">
            <xm:f>AND(IF(H32='Plan de Accion 2018'!X118,H32&lt;&gt;"N/A"))</xm:f>
            <x14:dxf>
              <fill>
                <patternFill>
                  <bgColor rgb="FF00B050"/>
                </patternFill>
              </fill>
            </x14:dxf>
          </x14:cfRule>
          <x14:cfRule type="expression" priority="6" stopIfTrue="1" id="{51FBF0B6-3AA2-4038-AC67-DE2A6CCD24AB}">
            <xm:f>AND(IF(H32&lt;'Plan de Accion 2018'!X118,H32&lt;&gt;"N/A"))</xm:f>
            <x14:dxf>
              <fill>
                <patternFill>
                  <bgColor indexed="10"/>
                </patternFill>
              </fill>
            </x14:dxf>
          </x14:cfRule>
          <xm:sqref>H32</xm:sqref>
        </x14:conditionalFormatting>
        <x14:conditionalFormatting xmlns:xm="http://schemas.microsoft.com/office/excel/2006/main">
          <x14:cfRule type="expression" priority="1" id="{341A46CB-BCE0-4A3B-AA52-7913C8DEDBD7}">
            <xm:f>AND(IF(H33&gt;'Plan de Accion 2018'!X119,H33&lt;&gt;¨N/A¨))</xm:f>
            <x14:dxf>
              <fill>
                <patternFill>
                  <bgColor theme="1" tint="0.499984740745262"/>
                </patternFill>
              </fill>
            </x14:dxf>
          </x14:cfRule>
          <x14:cfRule type="expression" priority="2" stopIfTrue="1" id="{ABA3FE86-039C-4A06-831C-CB0A9A575974}">
            <xm:f>AND(IF(H33='Plan de Accion 2018'!X119,H33&lt;&gt;"N/A"))</xm:f>
            <x14:dxf>
              <fill>
                <patternFill>
                  <bgColor rgb="FF00B050"/>
                </patternFill>
              </fill>
            </x14:dxf>
          </x14:cfRule>
          <x14:cfRule type="expression" priority="3" stopIfTrue="1" id="{492F1AC7-8FD1-4F7A-9B2F-7B076ECACD9E}">
            <xm:f>AND(IF(H33&lt;'Plan de Accion 2018'!X119,H33&lt;&gt;"N/A"))</xm:f>
            <x14:dxf>
              <fill>
                <patternFill>
                  <bgColor indexed="10"/>
                </patternFill>
              </fill>
            </x14:dxf>
          </x14:cfRule>
          <xm:sqref>H33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7"/>
  <sheetViews>
    <sheetView showGridLines="0" workbookViewId="0">
      <selection activeCell="C11" sqref="C11"/>
    </sheetView>
  </sheetViews>
  <sheetFormatPr baseColWidth="10" defaultRowHeight="15" x14ac:dyDescent="0.25"/>
  <cols>
    <col min="1" max="1" width="65.7109375" customWidth="1"/>
    <col min="2" max="2" width="2.28515625" customWidth="1"/>
    <col min="3" max="3" width="21.7109375" customWidth="1"/>
    <col min="4" max="4" width="3.28515625" customWidth="1"/>
    <col min="5" max="5" width="21.7109375" customWidth="1"/>
    <col min="6" max="6" width="3.28515625" customWidth="1"/>
    <col min="7" max="7" width="2.7109375" customWidth="1"/>
    <col min="8" max="8" width="21.7109375" customWidth="1"/>
    <col min="9" max="9" width="3.28515625" customWidth="1"/>
    <col min="10" max="10" width="21.7109375" customWidth="1"/>
    <col min="11" max="11" width="3.28515625" customWidth="1"/>
    <col min="12" max="12" width="3.140625" customWidth="1"/>
    <col min="13" max="13" width="21.7109375" customWidth="1"/>
    <col min="14" max="14" width="3.28515625" customWidth="1"/>
    <col min="15" max="15" width="21.7109375" customWidth="1"/>
    <col min="16" max="16" width="3.28515625" customWidth="1"/>
    <col min="17" max="17" width="2.85546875" customWidth="1"/>
    <col min="18" max="18" width="21.7109375" customWidth="1"/>
    <col min="19" max="19" width="3.28515625" customWidth="1"/>
    <col min="20" max="20" width="21.7109375" customWidth="1"/>
    <col min="21" max="21" width="3.28515625" customWidth="1"/>
  </cols>
  <sheetData>
    <row r="1" spans="1:29" ht="15" customHeight="1" x14ac:dyDescent="0.25">
      <c r="A1" s="890"/>
      <c r="B1" s="896" t="s">
        <v>966</v>
      </c>
      <c r="C1" s="897"/>
      <c r="D1" s="874"/>
      <c r="E1" s="875" t="s">
        <v>967</v>
      </c>
      <c r="F1" s="875"/>
      <c r="G1" s="875"/>
      <c r="H1" s="875"/>
      <c r="I1" s="875"/>
      <c r="J1" s="875"/>
      <c r="K1" s="875"/>
      <c r="L1" s="875"/>
      <c r="M1" s="875"/>
      <c r="N1" s="875"/>
      <c r="O1" s="875"/>
      <c r="P1" s="876"/>
      <c r="Q1" s="876"/>
      <c r="R1" s="899"/>
      <c r="S1" s="1057"/>
      <c r="T1" s="1057"/>
      <c r="U1" s="900"/>
      <c r="V1" s="479"/>
      <c r="W1" s="874"/>
      <c r="X1" s="875"/>
      <c r="Y1" s="875"/>
      <c r="Z1" s="875"/>
      <c r="AA1" s="875"/>
      <c r="AB1" s="875"/>
      <c r="AC1" s="878"/>
    </row>
    <row r="2" spans="1:29" ht="15" customHeight="1" x14ac:dyDescent="0.25">
      <c r="A2" s="891"/>
      <c r="B2" s="905" t="s">
        <v>968</v>
      </c>
      <c r="C2" s="906"/>
      <c r="D2" s="885"/>
      <c r="E2" s="880" t="s">
        <v>800</v>
      </c>
      <c r="F2" s="880"/>
      <c r="G2" s="880"/>
      <c r="H2" s="880"/>
      <c r="I2" s="880"/>
      <c r="J2" s="880"/>
      <c r="K2" s="880"/>
      <c r="L2" s="880"/>
      <c r="M2" s="880"/>
      <c r="N2" s="880"/>
      <c r="O2" s="880"/>
      <c r="P2" s="886"/>
      <c r="Q2" s="886"/>
      <c r="R2" s="901"/>
      <c r="S2" s="1056"/>
      <c r="T2" s="1056"/>
      <c r="U2" s="902"/>
      <c r="V2" s="479"/>
      <c r="W2" s="885"/>
      <c r="X2" s="880"/>
      <c r="Y2" s="880"/>
      <c r="Z2" s="880"/>
      <c r="AA2" s="880"/>
      <c r="AB2" s="880"/>
      <c r="AC2" s="881"/>
    </row>
    <row r="3" spans="1:29" ht="15.75" customHeight="1" thickBot="1" x14ac:dyDescent="0.3">
      <c r="A3" s="892"/>
      <c r="B3" s="908" t="s">
        <v>857</v>
      </c>
      <c r="C3" s="1036"/>
      <c r="D3" s="887"/>
      <c r="E3" s="889" t="s">
        <v>972</v>
      </c>
      <c r="F3" s="887"/>
      <c r="G3" s="909" t="s">
        <v>829</v>
      </c>
      <c r="H3" s="910"/>
      <c r="I3" s="910"/>
      <c r="J3" s="910"/>
      <c r="K3" s="910"/>
      <c r="L3" s="910"/>
      <c r="M3" s="910"/>
      <c r="N3" s="911"/>
      <c r="O3" s="533" t="s">
        <v>971</v>
      </c>
      <c r="P3" s="889">
        <v>1</v>
      </c>
      <c r="Q3" s="1036"/>
      <c r="R3" s="903"/>
      <c r="S3" s="1058"/>
      <c r="T3" s="1058"/>
      <c r="U3" s="904"/>
      <c r="V3" s="481"/>
      <c r="W3" s="887"/>
      <c r="X3" s="883"/>
      <c r="Y3" s="883"/>
      <c r="Z3" s="883"/>
      <c r="AA3" s="883"/>
      <c r="AB3" s="883"/>
      <c r="AC3" s="884"/>
    </row>
    <row r="4" spans="1:29" ht="15.75" thickBot="1" x14ac:dyDescent="0.3"/>
    <row r="5" spans="1:29" ht="72.75" customHeight="1" thickBot="1" x14ac:dyDescent="0.3">
      <c r="A5" s="289" t="s">
        <v>785</v>
      </c>
      <c r="B5" s="290"/>
      <c r="C5" s="1017" t="s">
        <v>876</v>
      </c>
      <c r="D5" s="1018"/>
      <c r="E5" s="1037" t="s">
        <v>818</v>
      </c>
      <c r="F5" s="1038"/>
      <c r="G5" s="164"/>
      <c r="H5" s="1017" t="s">
        <v>877</v>
      </c>
      <c r="I5" s="1018"/>
      <c r="J5" s="1017" t="s">
        <v>819</v>
      </c>
      <c r="K5" s="1018"/>
      <c r="L5" s="296"/>
      <c r="M5" s="1017" t="s">
        <v>878</v>
      </c>
      <c r="N5" s="1018"/>
      <c r="O5" s="1017" t="s">
        <v>820</v>
      </c>
      <c r="P5" s="1018"/>
      <c r="Q5" s="296"/>
      <c r="R5" s="1019" t="s">
        <v>879</v>
      </c>
      <c r="S5" s="1048"/>
      <c r="T5" s="1040" t="s">
        <v>821</v>
      </c>
      <c r="U5" s="1041"/>
    </row>
    <row r="6" spans="1:29" ht="18" x14ac:dyDescent="0.25">
      <c r="A6" s="291" t="s">
        <v>830</v>
      </c>
      <c r="B6" s="290"/>
      <c r="C6" s="1030">
        <f>+'Cuadro Mando Integral Detallado'!I104</f>
        <v>0.63975426645040856</v>
      </c>
      <c r="D6" s="1021">
        <f>+C6</f>
        <v>0.63975426645040856</v>
      </c>
      <c r="E6" s="1033">
        <f>+'Cuadro Mando Integral Detallado'!J104</f>
        <v>0.12783876832817709</v>
      </c>
      <c r="F6" s="1025">
        <f>+E6</f>
        <v>0.12783876832817709</v>
      </c>
      <c r="G6" s="174"/>
      <c r="H6" s="1042">
        <f>+'Cuadro Mando Integral Detallado'!M104</f>
        <v>0</v>
      </c>
      <c r="I6" s="1061">
        <f>+H6</f>
        <v>0</v>
      </c>
      <c r="J6" s="1030">
        <f>+'Cuadro Mando Integral Detallado'!N104</f>
        <v>0.12783876832817709</v>
      </c>
      <c r="K6" s="1059">
        <f>+J6</f>
        <v>0.12783876832817709</v>
      </c>
      <c r="L6" s="1043"/>
      <c r="M6" s="1030">
        <f>+'Cuadro Mando Integral Detallado'!Q104</f>
        <v>0</v>
      </c>
      <c r="N6" s="1068">
        <f>+M6</f>
        <v>0</v>
      </c>
      <c r="O6" s="1030">
        <f>+'Cuadro Mando Integral Detallado'!R104</f>
        <v>0.1281902992926775</v>
      </c>
      <c r="P6" s="1021">
        <f>+O6</f>
        <v>0.1281902992926775</v>
      </c>
      <c r="Q6" s="1043"/>
      <c r="R6" s="1030">
        <f>+'Cuadro Mando Integral Detallado'!U104</f>
        <v>0</v>
      </c>
      <c r="S6" s="1068">
        <f>+R6</f>
        <v>0</v>
      </c>
      <c r="T6" s="1030">
        <f>+'Cuadro Mando Integral Detallado'!V104</f>
        <v>0.12783876832817709</v>
      </c>
      <c r="U6" s="1021">
        <f>+T6</f>
        <v>0.12783876832817709</v>
      </c>
    </row>
    <row r="7" spans="1:29" ht="18" x14ac:dyDescent="0.25">
      <c r="A7" s="293" t="s">
        <v>831</v>
      </c>
      <c r="B7" s="290"/>
      <c r="C7" s="1031">
        <f>+'Cuadro Mando Integral Detallado'!I172</f>
        <v>0.97957247603883246</v>
      </c>
      <c r="D7" s="1022">
        <f>+C7</f>
        <v>0.97957247603883246</v>
      </c>
      <c r="E7" s="1034">
        <f>+'Cuadro Mando Integral Detallado'!J172</f>
        <v>0.24476018319223938</v>
      </c>
      <c r="F7" s="1026">
        <f>+E7</f>
        <v>0.24476018319223938</v>
      </c>
      <c r="G7" s="175"/>
      <c r="H7" s="1044">
        <f ca="1">+'Cuadro Mando Integral Detallado'!M172</f>
        <v>0</v>
      </c>
      <c r="I7" s="1062">
        <f ca="1">+H7</f>
        <v>0</v>
      </c>
      <c r="J7" s="1031">
        <f>+'Cuadro Mando Integral Detallado'!N172</f>
        <v>0.24476018319223938</v>
      </c>
      <c r="K7" s="1060">
        <f>+J7</f>
        <v>0.24476018319223938</v>
      </c>
      <c r="L7" s="1043"/>
      <c r="M7" s="1031">
        <f ca="1">+'Cuadro Mando Integral Detallado'!Q172</f>
        <v>0</v>
      </c>
      <c r="N7" s="1062">
        <f ca="1">+M7</f>
        <v>0</v>
      </c>
      <c r="O7" s="1031">
        <f>+'Cuadro Mando Integral Detallado'!R172</f>
        <v>0.24476018319223938</v>
      </c>
      <c r="P7" s="1022">
        <f>+O7</f>
        <v>0.24476018319223938</v>
      </c>
      <c r="Q7" s="1043"/>
      <c r="R7" s="1031">
        <f ca="1">+'Cuadro Mando Integral Detallado'!U172</f>
        <v>0</v>
      </c>
      <c r="S7" s="1062">
        <f ca="1">+R7</f>
        <v>0</v>
      </c>
      <c r="T7" s="1031">
        <f>+'Cuadro Mando Integral Detallado'!V172</f>
        <v>0.24476018319223938</v>
      </c>
      <c r="U7" s="1022">
        <f>+T7</f>
        <v>0.24476018319223938</v>
      </c>
    </row>
    <row r="8" spans="1:29" ht="18" x14ac:dyDescent="0.25">
      <c r="A8" s="293" t="s">
        <v>832</v>
      </c>
      <c r="B8" s="290"/>
      <c r="C8" s="1031">
        <f>+'Cuadro Mando Integral Detallado'!I211</f>
        <v>0.8662823614769094</v>
      </c>
      <c r="D8" s="1022">
        <f>+C8</f>
        <v>0.8662823614769094</v>
      </c>
      <c r="E8" s="1034">
        <f>+'Cuadro Mando Integral Detallado'!J211</f>
        <v>0.2560967917228647</v>
      </c>
      <c r="F8" s="1027">
        <f>+E8</f>
        <v>0.2560967917228647</v>
      </c>
      <c r="G8" s="175"/>
      <c r="H8" s="1044">
        <f>+'Cuadro Mando Integral Detallado'!M211</f>
        <v>0</v>
      </c>
      <c r="I8" s="1062">
        <f>+H8</f>
        <v>0</v>
      </c>
      <c r="J8" s="1031">
        <f>+'Cuadro Mando Integral Detallado'!N211</f>
        <v>0.2560967917228647</v>
      </c>
      <c r="K8" s="1060"/>
      <c r="L8" s="1043"/>
      <c r="M8" s="1031">
        <f>+'Cuadro Mando Integral Detallado'!Q211</f>
        <v>0</v>
      </c>
      <c r="N8" s="1069">
        <f>+M8</f>
        <v>0</v>
      </c>
      <c r="O8" s="1031">
        <f>+'Cuadro Mando Integral Detallado'!R211</f>
        <v>0.2560967917228647</v>
      </c>
      <c r="P8" s="1022">
        <f>+O8</f>
        <v>0.2560967917228647</v>
      </c>
      <c r="Q8" s="1043"/>
      <c r="R8" s="1031">
        <f>+'Cuadro Mando Integral Detallado'!U211</f>
        <v>0</v>
      </c>
      <c r="S8" s="1069">
        <f>+R8</f>
        <v>0</v>
      </c>
      <c r="T8" s="1031">
        <f>+'Cuadro Mando Integral Detallado'!V211</f>
        <v>0.2560967917228647</v>
      </c>
      <c r="U8" s="1022">
        <f>+T8</f>
        <v>0.2560967917228647</v>
      </c>
    </row>
    <row r="9" spans="1:29" ht="18.75" thickBot="1" x14ac:dyDescent="0.3">
      <c r="A9" s="295" t="s">
        <v>833</v>
      </c>
      <c r="B9" s="290"/>
      <c r="C9" s="1032">
        <f>+'Cuadro Mando Integral Detallado'!I216</f>
        <v>1.0977777777777777</v>
      </c>
      <c r="D9" s="1023">
        <f>+C9</f>
        <v>1.0977777777777777</v>
      </c>
      <c r="E9" s="1035">
        <f>+'Cuadro Mando Integral Detallado'!J216</f>
        <v>0.31148148148148147</v>
      </c>
      <c r="F9" s="1028">
        <f>+E9</f>
        <v>0.31148148148148147</v>
      </c>
      <c r="G9" s="175"/>
      <c r="H9" s="1045">
        <f>+'Cuadro Mando Integral Detallado'!M216</f>
        <v>0</v>
      </c>
      <c r="I9" s="1063">
        <f>+H9</f>
        <v>0</v>
      </c>
      <c r="J9" s="1032">
        <f>+'Cuadro Mando Integral Detallado'!N216</f>
        <v>0.31148148148148147</v>
      </c>
      <c r="K9" s="1065"/>
      <c r="L9" s="1043"/>
      <c r="M9" s="1032">
        <f>+'Cuadro Mando Integral Detallado'!Q216</f>
        <v>0</v>
      </c>
      <c r="N9" s="1063">
        <f>+M9</f>
        <v>0</v>
      </c>
      <c r="O9" s="1032">
        <f>+'Cuadro Mando Integral Detallado'!R216</f>
        <v>0.31148148148148147</v>
      </c>
      <c r="P9" s="1023">
        <f>+O9</f>
        <v>0.31148148148148147</v>
      </c>
      <c r="Q9" s="1043"/>
      <c r="R9" s="1032">
        <f>+'Cuadro Mando Integral Detallado'!U216</f>
        <v>0</v>
      </c>
      <c r="S9" s="1063">
        <f>+R9</f>
        <v>0</v>
      </c>
      <c r="T9" s="1032">
        <f>+'Cuadro Mando Integral Detallado'!V216</f>
        <v>0.31148148148148147</v>
      </c>
      <c r="U9" s="1023">
        <f>+T9</f>
        <v>0.31148148148148147</v>
      </c>
    </row>
    <row r="10" spans="1:29" ht="11.25" customHeight="1" thickBot="1" x14ac:dyDescent="0.3">
      <c r="A10" s="445"/>
      <c r="B10" s="290"/>
      <c r="H10" s="534"/>
      <c r="I10" s="534"/>
      <c r="J10" s="534"/>
      <c r="L10" s="534"/>
      <c r="M10" s="532"/>
      <c r="N10" s="23"/>
      <c r="O10" s="532"/>
      <c r="P10" s="1067"/>
      <c r="Q10" s="534"/>
      <c r="R10" s="534"/>
      <c r="T10" s="534"/>
      <c r="U10" s="161"/>
    </row>
    <row r="11" spans="1:29" ht="18.75" thickBot="1" x14ac:dyDescent="0.3">
      <c r="A11" s="289" t="s">
        <v>963</v>
      </c>
      <c r="B11" s="296"/>
      <c r="C11" s="446">
        <f>+'Cuadro Mando Integral Detallado'!I217</f>
        <v>0.89584672043598212</v>
      </c>
      <c r="D11" s="1024">
        <f>+C11</f>
        <v>0.89584672043598212</v>
      </c>
      <c r="E11" s="1079">
        <f>+'Cuadro Mando Integral Detallado'!J217</f>
        <v>0.23504430618119065</v>
      </c>
      <c r="F11" s="1029">
        <f>+E11</f>
        <v>0.23504430618119065</v>
      </c>
      <c r="G11" s="176"/>
      <c r="H11" s="446">
        <f ca="1">+'Cuadro Mando Integral Detallado'!M217</f>
        <v>0</v>
      </c>
      <c r="I11" s="1064">
        <f ca="1">+H11</f>
        <v>0</v>
      </c>
      <c r="J11" s="446">
        <f>+'Cuadro Mando Integral Detallado'!N217</f>
        <v>0.23504430618119065</v>
      </c>
      <c r="K11" s="1066"/>
      <c r="L11" s="1046"/>
      <c r="M11" s="446">
        <f ca="1">+'Cuadro Mando Integral Detallado'!Q217</f>
        <v>0</v>
      </c>
      <c r="N11" s="1064">
        <f ca="1">+M11</f>
        <v>0</v>
      </c>
      <c r="O11" s="446">
        <f>+'Cuadro Mando Integral Detallado'!R217</f>
        <v>0.23513218892231577</v>
      </c>
      <c r="P11" s="1024">
        <f>+O11</f>
        <v>0.23513218892231577</v>
      </c>
      <c r="Q11" s="1046"/>
      <c r="R11" s="446">
        <f ca="1">+'Cuadro Mando Integral Detallado'!U217</f>
        <v>0</v>
      </c>
      <c r="S11" s="1024">
        <f ca="1">+R11</f>
        <v>0</v>
      </c>
      <c r="T11" s="446">
        <f>+'Cuadro Mando Integral Detallado'!V217</f>
        <v>0.23504430618119065</v>
      </c>
      <c r="U11" s="1024">
        <f>+T11</f>
        <v>0.23504430618119065</v>
      </c>
    </row>
    <row r="13" spans="1:29" x14ac:dyDescent="0.25">
      <c r="J13" s="1047"/>
      <c r="O13" s="1047"/>
      <c r="P13" s="1047"/>
      <c r="T13" s="1047"/>
    </row>
    <row r="14" spans="1:29" x14ac:dyDescent="0.25">
      <c r="J14" s="1047"/>
      <c r="O14" s="1047"/>
      <c r="P14" s="1047"/>
      <c r="T14" s="1047"/>
    </row>
    <row r="15" spans="1:29" x14ac:dyDescent="0.25">
      <c r="J15" s="1047"/>
      <c r="O15" s="1047"/>
      <c r="P15" s="1047"/>
      <c r="T15" s="1047"/>
    </row>
    <row r="16" spans="1:29" x14ac:dyDescent="0.25">
      <c r="J16" s="1047"/>
      <c r="O16" s="1047"/>
      <c r="P16" s="1047"/>
      <c r="T16" s="1047"/>
    </row>
    <row r="17" spans="10:10" x14ac:dyDescent="0.25">
      <c r="J17" s="1047"/>
    </row>
  </sheetData>
  <mergeCells count="19">
    <mergeCell ref="H5:I5"/>
    <mergeCell ref="J5:K5"/>
    <mergeCell ref="R1:U3"/>
    <mergeCell ref="M5:N5"/>
    <mergeCell ref="O5:P5"/>
    <mergeCell ref="R5:S5"/>
    <mergeCell ref="T5:U5"/>
    <mergeCell ref="G3:N3"/>
    <mergeCell ref="P3:Q3"/>
    <mergeCell ref="C5:D5"/>
    <mergeCell ref="B1:D1"/>
    <mergeCell ref="B2:D2"/>
    <mergeCell ref="B3:D3"/>
    <mergeCell ref="E3:F3"/>
    <mergeCell ref="E5:F5"/>
    <mergeCell ref="A1:A3"/>
    <mergeCell ref="E1:Q1"/>
    <mergeCell ref="W1:AC3"/>
    <mergeCell ref="E2:Q2"/>
  </mergeCells>
  <conditionalFormatting sqref="D6">
    <cfRule type="cellIs" dxfId="829" priority="681" operator="between">
      <formula>0.76</formula>
      <formula>0.95</formula>
    </cfRule>
    <cfRule type="cellIs" dxfId="828" priority="682" operator="between">
      <formula>0.51</formula>
      <formula>0.75</formula>
    </cfRule>
    <cfRule type="cellIs" dxfId="827" priority="683" operator="greaterThan">
      <formula>1</formula>
    </cfRule>
    <cfRule type="cellIs" dxfId="826" priority="684" operator="between">
      <formula>0.95</formula>
      <formula>1</formula>
    </cfRule>
    <cfRule type="cellIs" dxfId="825" priority="685" stopIfTrue="1" operator="between">
      <formula>0</formula>
      <formula>0.5</formula>
    </cfRule>
  </conditionalFormatting>
  <conditionalFormatting sqref="D7">
    <cfRule type="cellIs" dxfId="824" priority="676" operator="between">
      <formula>0.76</formula>
      <formula>0.95</formula>
    </cfRule>
    <cfRule type="cellIs" dxfId="823" priority="677" operator="between">
      <formula>0.51</formula>
      <formula>0.75</formula>
    </cfRule>
    <cfRule type="cellIs" dxfId="822" priority="678" operator="greaterThan">
      <formula>1</formula>
    </cfRule>
    <cfRule type="cellIs" dxfId="821" priority="679" operator="between">
      <formula>0.95</formula>
      <formula>1</formula>
    </cfRule>
    <cfRule type="cellIs" dxfId="820" priority="680" stopIfTrue="1" operator="between">
      <formula>0</formula>
      <formula>0.5</formula>
    </cfRule>
  </conditionalFormatting>
  <conditionalFormatting sqref="D8">
    <cfRule type="cellIs" dxfId="819" priority="671" operator="between">
      <formula>0.76</formula>
      <formula>0.95</formula>
    </cfRule>
    <cfRule type="cellIs" dxfId="818" priority="672" operator="between">
      <formula>0.51</formula>
      <formula>0.75</formula>
    </cfRule>
    <cfRule type="cellIs" dxfId="817" priority="673" operator="greaterThan">
      <formula>1</formula>
    </cfRule>
    <cfRule type="cellIs" dxfId="816" priority="674" operator="between">
      <formula>0.95</formula>
      <formula>1</formula>
    </cfRule>
    <cfRule type="cellIs" dxfId="815" priority="675" stopIfTrue="1" operator="between">
      <formula>0</formula>
      <formula>0.5</formula>
    </cfRule>
  </conditionalFormatting>
  <conditionalFormatting sqref="D9">
    <cfRule type="cellIs" dxfId="814" priority="666" operator="between">
      <formula>0.76</formula>
      <formula>0.95</formula>
    </cfRule>
    <cfRule type="cellIs" dxfId="813" priority="667" operator="between">
      <formula>0.51</formula>
      <formula>0.75</formula>
    </cfRule>
    <cfRule type="cellIs" dxfId="812" priority="668" operator="greaterThan">
      <formula>1</formula>
    </cfRule>
    <cfRule type="cellIs" dxfId="811" priority="669" operator="between">
      <formula>0.95</formula>
      <formula>1</formula>
    </cfRule>
    <cfRule type="cellIs" dxfId="810" priority="670" stopIfTrue="1" operator="between">
      <formula>0</formula>
      <formula>0.5</formula>
    </cfRule>
  </conditionalFormatting>
  <conditionalFormatting sqref="D11">
    <cfRule type="cellIs" dxfId="809" priority="661" operator="between">
      <formula>0.76</formula>
      <formula>0.95</formula>
    </cfRule>
    <cfRule type="cellIs" dxfId="808" priority="662" operator="between">
      <formula>0.51</formula>
      <formula>0.75</formula>
    </cfRule>
    <cfRule type="cellIs" dxfId="807" priority="663" operator="greaterThan">
      <formula>1</formula>
    </cfRule>
    <cfRule type="cellIs" dxfId="806" priority="664" operator="between">
      <formula>0.95</formula>
      <formula>1</formula>
    </cfRule>
    <cfRule type="cellIs" dxfId="805" priority="665" stopIfTrue="1" operator="between">
      <formula>0</formula>
      <formula>0.5</formula>
    </cfRule>
  </conditionalFormatting>
  <conditionalFormatting sqref="P6">
    <cfRule type="cellIs" dxfId="804" priority="506" operator="between">
      <formula>0.563</formula>
      <formula>0.7125</formula>
    </cfRule>
    <cfRule type="cellIs" dxfId="803" priority="507" operator="between">
      <formula>0.3751</formula>
      <formula>0.5625</formula>
    </cfRule>
    <cfRule type="cellIs" dxfId="802" priority="508" operator="greaterThan">
      <formula>0.755</formula>
    </cfRule>
    <cfRule type="cellIs" dxfId="801" priority="509" operator="between">
      <formula>0.713</formula>
      <formula>75</formula>
    </cfRule>
    <cfRule type="cellIs" dxfId="800" priority="510" stopIfTrue="1" operator="between">
      <formula>0</formula>
      <formula>0.375</formula>
    </cfRule>
  </conditionalFormatting>
  <conditionalFormatting sqref="F11">
    <cfRule type="cellIs" dxfId="799" priority="331" operator="between">
      <formula>0.191</formula>
      <formula>0.24</formula>
    </cfRule>
    <cfRule type="cellIs" dxfId="798" priority="332" operator="between">
      <formula>0.1251</formula>
      <formula>0.19</formula>
    </cfRule>
    <cfRule type="cellIs" dxfId="797" priority="333" operator="greaterThan">
      <formula>0.2601</formula>
    </cfRule>
    <cfRule type="cellIs" dxfId="796" priority="334" operator="between">
      <formula>0.2401</formula>
      <formula>0.26</formula>
    </cfRule>
    <cfRule type="cellIs" dxfId="795" priority="335" stopIfTrue="1" operator="between">
      <formula>0</formula>
      <formula>0.125</formula>
    </cfRule>
  </conditionalFormatting>
  <conditionalFormatting sqref="F6">
    <cfRule type="cellIs" dxfId="794" priority="276" operator="between">
      <formula>0.191</formula>
      <formula>0.24</formula>
    </cfRule>
    <cfRule type="cellIs" dxfId="793" priority="277" operator="between">
      <formula>0.1251</formula>
      <formula>0.19</formula>
    </cfRule>
    <cfRule type="cellIs" dxfId="792" priority="278" operator="greaterThan">
      <formula>0.2601</formula>
    </cfRule>
    <cfRule type="cellIs" dxfId="791" priority="279" operator="between">
      <formula>0.2401</formula>
      <formula>0.26</formula>
    </cfRule>
    <cfRule type="cellIs" dxfId="790" priority="280" stopIfTrue="1" operator="between">
      <formula>0</formula>
      <formula>0.125</formula>
    </cfRule>
  </conditionalFormatting>
  <conditionalFormatting sqref="F7">
    <cfRule type="cellIs" dxfId="789" priority="271" operator="between">
      <formula>0.191</formula>
      <formula>0.24</formula>
    </cfRule>
    <cfRule type="cellIs" dxfId="788" priority="272" operator="between">
      <formula>0.1251</formula>
      <formula>0.19</formula>
    </cfRule>
    <cfRule type="cellIs" dxfId="787" priority="273" operator="greaterThan">
      <formula>0.2601</formula>
    </cfRule>
    <cfRule type="cellIs" dxfId="786" priority="274" operator="between">
      <formula>0.2401</formula>
      <formula>0.26</formula>
    </cfRule>
    <cfRule type="cellIs" dxfId="785" priority="275" stopIfTrue="1" operator="between">
      <formula>0</formula>
      <formula>0.125</formula>
    </cfRule>
  </conditionalFormatting>
  <conditionalFormatting sqref="F8">
    <cfRule type="cellIs" dxfId="784" priority="266" operator="between">
      <formula>0.191</formula>
      <formula>0.24</formula>
    </cfRule>
    <cfRule type="cellIs" dxfId="783" priority="267" operator="between">
      <formula>0.1251</formula>
      <formula>0.19</formula>
    </cfRule>
    <cfRule type="cellIs" dxfId="782" priority="268" operator="greaterThan">
      <formula>0.2501</formula>
    </cfRule>
    <cfRule type="cellIs" dxfId="781" priority="269" operator="between">
      <formula>0.2401</formula>
      <formula>0.25</formula>
    </cfRule>
    <cfRule type="cellIs" dxfId="780" priority="270" stopIfTrue="1" operator="between">
      <formula>0</formula>
      <formula>0.125</formula>
    </cfRule>
  </conditionalFormatting>
  <conditionalFormatting sqref="F9">
    <cfRule type="cellIs" dxfId="779" priority="261" operator="between">
      <formula>0.191</formula>
      <formula>0.24</formula>
    </cfRule>
    <cfRule type="cellIs" dxfId="778" priority="262" operator="between">
      <formula>0.1251</formula>
      <formula>0.19</formula>
    </cfRule>
    <cfRule type="cellIs" dxfId="777" priority="263" operator="greaterThan">
      <formula>0.2601</formula>
    </cfRule>
    <cfRule type="cellIs" dxfId="776" priority="264" operator="between">
      <formula>0.2401</formula>
      <formula>0.26</formula>
    </cfRule>
    <cfRule type="cellIs" dxfId="775" priority="265" stopIfTrue="1" operator="between">
      <formula>0</formula>
      <formula>0.125</formula>
    </cfRule>
  </conditionalFormatting>
  <conditionalFormatting sqref="I6">
    <cfRule type="cellIs" dxfId="774" priority="251" operator="between">
      <formula>0.76</formula>
      <formula>0.95</formula>
    </cfRule>
    <cfRule type="cellIs" dxfId="773" priority="252" operator="between">
      <formula>0.51</formula>
      <formula>0.75</formula>
    </cfRule>
    <cfRule type="cellIs" dxfId="772" priority="253" operator="greaterThan">
      <formula>1</formula>
    </cfRule>
    <cfRule type="cellIs" dxfId="771" priority="254" operator="between">
      <formula>0.95</formula>
      <formula>1</formula>
    </cfRule>
    <cfRule type="cellIs" dxfId="770" priority="255" stopIfTrue="1" operator="between">
      <formula>0</formula>
      <formula>0.5</formula>
    </cfRule>
  </conditionalFormatting>
  <conditionalFormatting sqref="I7">
    <cfRule type="cellIs" dxfId="769" priority="246" operator="between">
      <formula>0.76</formula>
      <formula>0.95</formula>
    </cfRule>
    <cfRule type="cellIs" dxfId="768" priority="247" operator="between">
      <formula>0.51</formula>
      <formula>0.75</formula>
    </cfRule>
    <cfRule type="cellIs" dxfId="767" priority="248" operator="greaterThan">
      <formula>1</formula>
    </cfRule>
    <cfRule type="cellIs" dxfId="766" priority="249" operator="between">
      <formula>0.95</formula>
      <formula>1</formula>
    </cfRule>
    <cfRule type="cellIs" dxfId="765" priority="250" stopIfTrue="1" operator="between">
      <formula>0</formula>
      <formula>0.5</formula>
    </cfRule>
  </conditionalFormatting>
  <conditionalFormatting sqref="I8">
    <cfRule type="cellIs" dxfId="764" priority="241" operator="between">
      <formula>0.76</formula>
      <formula>0.95</formula>
    </cfRule>
    <cfRule type="cellIs" dxfId="763" priority="242" operator="between">
      <formula>0.51</formula>
      <formula>0.75</formula>
    </cfRule>
    <cfRule type="cellIs" dxfId="762" priority="243" operator="greaterThan">
      <formula>1</formula>
    </cfRule>
    <cfRule type="cellIs" dxfId="761" priority="244" operator="between">
      <formula>0.95</formula>
      <formula>1</formula>
    </cfRule>
    <cfRule type="cellIs" dxfId="760" priority="245" stopIfTrue="1" operator="between">
      <formula>0</formula>
      <formula>0.5</formula>
    </cfRule>
  </conditionalFormatting>
  <conditionalFormatting sqref="I9">
    <cfRule type="cellIs" dxfId="759" priority="236" operator="between">
      <formula>0.76</formula>
      <formula>0.95</formula>
    </cfRule>
    <cfRule type="cellIs" dxfId="758" priority="237" operator="between">
      <formula>0.51</formula>
      <formula>0.75</formula>
    </cfRule>
    <cfRule type="cellIs" dxfId="757" priority="238" operator="greaterThan">
      <formula>1</formula>
    </cfRule>
    <cfRule type="cellIs" dxfId="756" priority="239" operator="between">
      <formula>0.95</formula>
      <formula>1</formula>
    </cfRule>
    <cfRule type="cellIs" dxfId="755" priority="240" stopIfTrue="1" operator="between">
      <formula>0</formula>
      <formula>0.5</formula>
    </cfRule>
  </conditionalFormatting>
  <conditionalFormatting sqref="I11">
    <cfRule type="cellIs" dxfId="754" priority="231" operator="between">
      <formula>0.76</formula>
      <formula>0.95</formula>
    </cfRule>
    <cfRule type="cellIs" dxfId="753" priority="232" operator="between">
      <formula>0.51</formula>
      <formula>0.75</formula>
    </cfRule>
    <cfRule type="cellIs" dxfId="752" priority="233" operator="greaterThan">
      <formula>1</formula>
    </cfRule>
    <cfRule type="cellIs" dxfId="751" priority="234" operator="between">
      <formula>0.95</formula>
      <formula>1</formula>
    </cfRule>
    <cfRule type="cellIs" dxfId="750" priority="235" stopIfTrue="1" operator="between">
      <formula>0</formula>
      <formula>0.5</formula>
    </cfRule>
  </conditionalFormatting>
  <conditionalFormatting sqref="K6">
    <cfRule type="cellIs" dxfId="749" priority="171" operator="between">
      <formula>0.38</formula>
      <formula>0.475</formula>
    </cfRule>
    <cfRule type="cellIs" dxfId="748" priority="172" operator="between">
      <formula>0.2551</formula>
      <formula>0.375</formula>
    </cfRule>
    <cfRule type="cellIs" dxfId="747" priority="173" operator="greaterThan">
      <formula>0.505</formula>
    </cfRule>
    <cfRule type="cellIs" dxfId="746" priority="174" operator="between">
      <formula>0.48</formula>
      <formula>0.51</formula>
    </cfRule>
    <cfRule type="cellIs" dxfId="745" priority="175" stopIfTrue="1" operator="between">
      <formula>0</formula>
      <formula>0.255</formula>
    </cfRule>
  </conditionalFormatting>
  <conditionalFormatting sqref="N6">
    <cfRule type="cellIs" dxfId="744" priority="146" operator="between">
      <formula>0.191</formula>
      <formula>0.24</formula>
    </cfRule>
    <cfRule type="cellIs" dxfId="743" priority="147" operator="between">
      <formula>0.1251</formula>
      <formula>0.19</formula>
    </cfRule>
    <cfRule type="cellIs" dxfId="742" priority="148" operator="greaterThan">
      <formula>0.2601</formula>
    </cfRule>
    <cfRule type="cellIs" dxfId="741" priority="149" operator="between">
      <formula>0.2401</formula>
      <formula>0.26</formula>
    </cfRule>
    <cfRule type="cellIs" dxfId="740" priority="150" stopIfTrue="1" operator="between">
      <formula>0</formula>
      <formula>0.125</formula>
    </cfRule>
  </conditionalFormatting>
  <conditionalFormatting sqref="N11">
    <cfRule type="cellIs" dxfId="739" priority="151" operator="between">
      <formula>0.191</formula>
      <formula>0.24</formula>
    </cfRule>
    <cfRule type="cellIs" dxfId="738" priority="152" operator="between">
      <formula>0.1251</formula>
      <formula>0.19</formula>
    </cfRule>
    <cfRule type="cellIs" dxfId="737" priority="153" operator="greaterThan">
      <formula>0.2601</formula>
    </cfRule>
    <cfRule type="cellIs" dxfId="736" priority="154" operator="between">
      <formula>0.2401</formula>
      <formula>0.26</formula>
    </cfRule>
    <cfRule type="cellIs" dxfId="735" priority="155" stopIfTrue="1" operator="between">
      <formula>0</formula>
      <formula>0.125</formula>
    </cfRule>
  </conditionalFormatting>
  <conditionalFormatting sqref="N7">
    <cfRule type="cellIs" dxfId="734" priority="141" operator="between">
      <formula>0.191</formula>
      <formula>0.24</formula>
    </cfRule>
    <cfRule type="cellIs" dxfId="733" priority="142" operator="between">
      <formula>0.1251</formula>
      <formula>0.19</formula>
    </cfRule>
    <cfRule type="cellIs" dxfId="732" priority="143" operator="greaterThan">
      <formula>0.2601</formula>
    </cfRule>
    <cfRule type="cellIs" dxfId="731" priority="144" operator="between">
      <formula>0.2401</formula>
      <formula>0.26</formula>
    </cfRule>
    <cfRule type="cellIs" dxfId="730" priority="145" stopIfTrue="1" operator="between">
      <formula>0</formula>
      <formula>0.125</formula>
    </cfRule>
  </conditionalFormatting>
  <conditionalFormatting sqref="N8">
    <cfRule type="cellIs" dxfId="729" priority="136" operator="between">
      <formula>0.191</formula>
      <formula>0.24</formula>
    </cfRule>
    <cfRule type="cellIs" dxfId="728" priority="137" operator="between">
      <formula>0.1251</formula>
      <formula>0.19</formula>
    </cfRule>
    <cfRule type="cellIs" dxfId="727" priority="138" operator="greaterThan">
      <formula>0.2501</formula>
    </cfRule>
    <cfRule type="cellIs" dxfId="726" priority="139" operator="between">
      <formula>0.2401</formula>
      <formula>0.25</formula>
    </cfRule>
    <cfRule type="cellIs" dxfId="725" priority="140" stopIfTrue="1" operator="between">
      <formula>0</formula>
      <formula>0.125</formula>
    </cfRule>
  </conditionalFormatting>
  <conditionalFormatting sqref="N9">
    <cfRule type="cellIs" dxfId="724" priority="131" operator="between">
      <formula>0.191</formula>
      <formula>0.24</formula>
    </cfRule>
    <cfRule type="cellIs" dxfId="723" priority="132" operator="between">
      <formula>0.1251</formula>
      <formula>0.19</formula>
    </cfRule>
    <cfRule type="cellIs" dxfId="722" priority="133" operator="greaterThan">
      <formula>0.2601</formula>
    </cfRule>
    <cfRule type="cellIs" dxfId="721" priority="134" operator="between">
      <formula>0.2401</formula>
      <formula>0.26</formula>
    </cfRule>
    <cfRule type="cellIs" dxfId="720" priority="135" stopIfTrue="1" operator="between">
      <formula>0</formula>
      <formula>0.125</formula>
    </cfRule>
  </conditionalFormatting>
  <conditionalFormatting sqref="S11">
    <cfRule type="cellIs" dxfId="719" priority="126" operator="between">
      <formula>0.191</formula>
      <formula>0.24</formula>
    </cfRule>
    <cfRule type="cellIs" dxfId="718" priority="127" operator="between">
      <formula>0.1251</formula>
      <formula>0.19</formula>
    </cfRule>
    <cfRule type="cellIs" dxfId="717" priority="128" operator="greaterThan">
      <formula>0.2601</formula>
    </cfRule>
    <cfRule type="cellIs" dxfId="716" priority="129" operator="between">
      <formula>0.2401</formula>
      <formula>0.26</formula>
    </cfRule>
    <cfRule type="cellIs" dxfId="715" priority="130" stopIfTrue="1" operator="between">
      <formula>0</formula>
      <formula>0.125</formula>
    </cfRule>
  </conditionalFormatting>
  <conditionalFormatting sqref="S6">
    <cfRule type="cellIs" dxfId="714" priority="121" operator="between">
      <formula>0.191</formula>
      <formula>0.24</formula>
    </cfRule>
    <cfRule type="cellIs" dxfId="713" priority="122" operator="between">
      <formula>0.1251</formula>
      <formula>0.19</formula>
    </cfRule>
    <cfRule type="cellIs" dxfId="712" priority="123" operator="greaterThan">
      <formula>0.2601</formula>
    </cfRule>
    <cfRule type="cellIs" dxfId="711" priority="124" operator="between">
      <formula>0.2401</formula>
      <formula>0.26</formula>
    </cfRule>
    <cfRule type="cellIs" dxfId="710" priority="125" stopIfTrue="1" operator="between">
      <formula>0</formula>
      <formula>0.125</formula>
    </cfRule>
  </conditionalFormatting>
  <conditionalFormatting sqref="S7">
    <cfRule type="cellIs" dxfId="709" priority="116" operator="between">
      <formula>0.191</formula>
      <formula>0.24</formula>
    </cfRule>
    <cfRule type="cellIs" dxfId="708" priority="117" operator="between">
      <formula>0.1251</formula>
      <formula>0.19</formula>
    </cfRule>
    <cfRule type="cellIs" dxfId="707" priority="118" operator="greaterThan">
      <formula>0.2601</formula>
    </cfRule>
    <cfRule type="cellIs" dxfId="706" priority="119" operator="between">
      <formula>0.2401</formula>
      <formula>0.26</formula>
    </cfRule>
    <cfRule type="cellIs" dxfId="705" priority="120" stopIfTrue="1" operator="between">
      <formula>0</formula>
      <formula>0.125</formula>
    </cfRule>
  </conditionalFormatting>
  <conditionalFormatting sqref="S8">
    <cfRule type="cellIs" dxfId="704" priority="111" operator="between">
      <formula>0.191</formula>
      <formula>0.24</formula>
    </cfRule>
    <cfRule type="cellIs" dxfId="703" priority="112" operator="between">
      <formula>0.1251</formula>
      <formula>0.19</formula>
    </cfRule>
    <cfRule type="cellIs" dxfId="702" priority="113" operator="greaterThan">
      <formula>0.2501</formula>
    </cfRule>
    <cfRule type="cellIs" dxfId="701" priority="114" operator="between">
      <formula>0.2401</formula>
      <formula>0.25</formula>
    </cfRule>
    <cfRule type="cellIs" dxfId="700" priority="115" stopIfTrue="1" operator="between">
      <formula>0</formula>
      <formula>0.125</formula>
    </cfRule>
  </conditionalFormatting>
  <conditionalFormatting sqref="S9">
    <cfRule type="cellIs" dxfId="699" priority="106" operator="between">
      <formula>0.191</formula>
      <formula>0.24</formula>
    </cfRule>
    <cfRule type="cellIs" dxfId="698" priority="107" operator="between">
      <formula>0.1251</formula>
      <formula>0.19</formula>
    </cfRule>
    <cfRule type="cellIs" dxfId="697" priority="108" operator="greaterThan">
      <formula>0.2601</formula>
    </cfRule>
    <cfRule type="cellIs" dxfId="696" priority="109" operator="between">
      <formula>0.2401</formula>
      <formula>0.26</formula>
    </cfRule>
    <cfRule type="cellIs" dxfId="695" priority="110" stopIfTrue="1" operator="between">
      <formula>0</formula>
      <formula>0.125</formula>
    </cfRule>
  </conditionalFormatting>
  <conditionalFormatting sqref="P7">
    <cfRule type="cellIs" dxfId="694" priority="81" operator="between">
      <formula>0.563</formula>
      <formula>0.7125</formula>
    </cfRule>
    <cfRule type="cellIs" dxfId="693" priority="82" operator="between">
      <formula>0.3751</formula>
      <formula>0.5625</formula>
    </cfRule>
    <cfRule type="cellIs" dxfId="692" priority="83" operator="greaterThan">
      <formula>0.755</formula>
    </cfRule>
    <cfRule type="cellIs" dxfId="691" priority="84" operator="between">
      <formula>0.713</formula>
      <formula>75</formula>
    </cfRule>
    <cfRule type="cellIs" dxfId="690" priority="85" stopIfTrue="1" operator="between">
      <formula>0</formula>
      <formula>0.375</formula>
    </cfRule>
  </conditionalFormatting>
  <conditionalFormatting sqref="P8">
    <cfRule type="cellIs" dxfId="689" priority="76" operator="between">
      <formula>0.563</formula>
      <formula>0.7125</formula>
    </cfRule>
    <cfRule type="cellIs" dxfId="688" priority="77" operator="between">
      <formula>0.3751</formula>
      <formula>0.5625</formula>
    </cfRule>
    <cfRule type="cellIs" dxfId="687" priority="78" operator="greaterThan">
      <formula>0.755</formula>
    </cfRule>
    <cfRule type="cellIs" dxfId="686" priority="79" operator="between">
      <formula>0.713</formula>
      <formula>75</formula>
    </cfRule>
    <cfRule type="cellIs" dxfId="685" priority="80" stopIfTrue="1" operator="between">
      <formula>0</formula>
      <formula>0.375</formula>
    </cfRule>
  </conditionalFormatting>
  <conditionalFormatting sqref="P9">
    <cfRule type="cellIs" dxfId="684" priority="71" operator="between">
      <formula>0.563</formula>
      <formula>0.7125</formula>
    </cfRule>
    <cfRule type="cellIs" dxfId="683" priority="72" operator="between">
      <formula>0.3751</formula>
      <formula>0.5625</formula>
    </cfRule>
    <cfRule type="cellIs" dxfId="682" priority="73" operator="greaterThan">
      <formula>0.755</formula>
    </cfRule>
    <cfRule type="cellIs" dxfId="681" priority="74" operator="between">
      <formula>0.713</formula>
      <formula>75</formula>
    </cfRule>
    <cfRule type="cellIs" dxfId="680" priority="75" stopIfTrue="1" operator="between">
      <formula>0</formula>
      <formula>0.375</formula>
    </cfRule>
  </conditionalFormatting>
  <conditionalFormatting sqref="P11">
    <cfRule type="cellIs" dxfId="679" priority="66" operator="between">
      <formula>0.563</formula>
      <formula>0.7125</formula>
    </cfRule>
    <cfRule type="cellIs" dxfId="678" priority="67" operator="between">
      <formula>0.3751</formula>
      <formula>0.5625</formula>
    </cfRule>
    <cfRule type="cellIs" dxfId="677" priority="68" operator="greaterThan">
      <formula>0.755</formula>
    </cfRule>
    <cfRule type="cellIs" dxfId="676" priority="69" operator="between">
      <formula>0.713</formula>
      <formula>75</formula>
    </cfRule>
    <cfRule type="cellIs" dxfId="675" priority="70" stopIfTrue="1" operator="between">
      <formula>0</formula>
      <formula>0.375</formula>
    </cfRule>
  </conditionalFormatting>
  <conditionalFormatting sqref="K7">
    <cfRule type="cellIs" dxfId="674" priority="61" operator="between">
      <formula>0.38</formula>
      <formula>0.475</formula>
    </cfRule>
    <cfRule type="cellIs" dxfId="673" priority="62" operator="between">
      <formula>0.2551</formula>
      <formula>0.375</formula>
    </cfRule>
    <cfRule type="cellIs" dxfId="672" priority="63" operator="greaterThan">
      <formula>0.505</formula>
    </cfRule>
    <cfRule type="cellIs" dxfId="671" priority="64" operator="between">
      <formula>0.48</formula>
      <formula>0.51</formula>
    </cfRule>
    <cfRule type="cellIs" dxfId="670" priority="65" stopIfTrue="1" operator="between">
      <formula>0</formula>
      <formula>0.255</formula>
    </cfRule>
  </conditionalFormatting>
  <conditionalFormatting sqref="K8">
    <cfRule type="cellIs" dxfId="669" priority="56" operator="between">
      <formula>0.38</formula>
      <formula>0.475</formula>
    </cfRule>
    <cfRule type="cellIs" dxfId="668" priority="57" operator="between">
      <formula>0.2551</formula>
      <formula>0.375</formula>
    </cfRule>
    <cfRule type="cellIs" dxfId="667" priority="58" operator="greaterThan">
      <formula>0.505</formula>
    </cfRule>
    <cfRule type="cellIs" dxfId="666" priority="59" operator="between">
      <formula>0.48</formula>
      <formula>0.51</formula>
    </cfRule>
    <cfRule type="cellIs" dxfId="665" priority="60" stopIfTrue="1" operator="between">
      <formula>0</formula>
      <formula>0.255</formula>
    </cfRule>
  </conditionalFormatting>
  <conditionalFormatting sqref="K9">
    <cfRule type="cellIs" dxfId="664" priority="51" operator="between">
      <formula>0.38</formula>
      <formula>0.475</formula>
    </cfRule>
    <cfRule type="cellIs" dxfId="663" priority="52" operator="between">
      <formula>0.2551</formula>
      <formula>0.375</formula>
    </cfRule>
    <cfRule type="cellIs" dxfId="662" priority="53" operator="greaterThan">
      <formula>0.505</formula>
    </cfRule>
    <cfRule type="cellIs" dxfId="661" priority="54" operator="between">
      <formula>0.48</formula>
      <formula>0.51</formula>
    </cfRule>
    <cfRule type="cellIs" dxfId="660" priority="55" stopIfTrue="1" operator="between">
      <formula>0</formula>
      <formula>0.255</formula>
    </cfRule>
  </conditionalFormatting>
  <conditionalFormatting sqref="K11">
    <cfRule type="cellIs" dxfId="659" priority="46" operator="between">
      <formula>0.38</formula>
      <formula>0.475</formula>
    </cfRule>
    <cfRule type="cellIs" dxfId="658" priority="47" operator="between">
      <formula>0.2551</formula>
      <formula>0.375</formula>
    </cfRule>
    <cfRule type="cellIs" dxfId="657" priority="48" operator="greaterThan">
      <formula>0.505</formula>
    </cfRule>
    <cfRule type="cellIs" dxfId="656" priority="49" operator="between">
      <formula>0.48</formula>
      <formula>0.51</formula>
    </cfRule>
    <cfRule type="cellIs" dxfId="655" priority="50" stopIfTrue="1" operator="between">
      <formula>0</formula>
      <formula>0.255</formula>
    </cfRule>
  </conditionalFormatting>
  <conditionalFormatting sqref="U6">
    <cfRule type="cellIs" dxfId="654" priority="41" operator="between">
      <formula>0.76</formula>
      <formula>0.95</formula>
    </cfRule>
    <cfRule type="cellIs" dxfId="653" priority="42" operator="between">
      <formula>0.51</formula>
      <formula>0.75</formula>
    </cfRule>
    <cfRule type="cellIs" dxfId="652" priority="43" operator="greaterThan">
      <formula>1</formula>
    </cfRule>
    <cfRule type="cellIs" dxfId="651" priority="44" operator="between">
      <formula>0.95</formula>
      <formula>1</formula>
    </cfRule>
    <cfRule type="cellIs" dxfId="650" priority="45" stopIfTrue="1" operator="between">
      <formula>0</formula>
      <formula>0.5</formula>
    </cfRule>
  </conditionalFormatting>
  <conditionalFormatting sqref="U7">
    <cfRule type="cellIs" dxfId="649" priority="16" operator="between">
      <formula>0.76</formula>
      <formula>0.95</formula>
    </cfRule>
    <cfRule type="cellIs" dxfId="648" priority="17" operator="between">
      <formula>0.51</formula>
      <formula>0.75</formula>
    </cfRule>
    <cfRule type="cellIs" dxfId="647" priority="18" operator="greaterThan">
      <formula>1</formula>
    </cfRule>
    <cfRule type="cellIs" dxfId="646" priority="19" operator="between">
      <formula>0.95</formula>
      <formula>1</formula>
    </cfRule>
    <cfRule type="cellIs" dxfId="645" priority="20" stopIfTrue="1" operator="between">
      <formula>0</formula>
      <formula>0.5</formula>
    </cfRule>
  </conditionalFormatting>
  <conditionalFormatting sqref="U8">
    <cfRule type="cellIs" dxfId="644" priority="11" operator="between">
      <formula>0.76</formula>
      <formula>0.95</formula>
    </cfRule>
    <cfRule type="cellIs" dxfId="643" priority="12" operator="between">
      <formula>0.51</formula>
      <formula>0.75</formula>
    </cfRule>
    <cfRule type="cellIs" dxfId="642" priority="13" operator="greaterThan">
      <formula>1</formula>
    </cfRule>
    <cfRule type="cellIs" dxfId="641" priority="14" operator="between">
      <formula>0.95</formula>
      <formula>1</formula>
    </cfRule>
    <cfRule type="cellIs" dxfId="640" priority="15" stopIfTrue="1" operator="between">
      <formula>0</formula>
      <formula>0.5</formula>
    </cfRule>
  </conditionalFormatting>
  <conditionalFormatting sqref="U9">
    <cfRule type="cellIs" dxfId="639" priority="6" operator="between">
      <formula>0.76</formula>
      <formula>0.95</formula>
    </cfRule>
    <cfRule type="cellIs" dxfId="638" priority="7" operator="between">
      <formula>0.51</formula>
      <formula>0.75</formula>
    </cfRule>
    <cfRule type="cellIs" dxfId="637" priority="8" operator="greaterThan">
      <formula>1</formula>
    </cfRule>
    <cfRule type="cellIs" dxfId="636" priority="9" operator="between">
      <formula>0.95</formula>
      <formula>1</formula>
    </cfRule>
    <cfRule type="cellIs" dxfId="635" priority="10" stopIfTrue="1" operator="between">
      <formula>0</formula>
      <formula>0.5</formula>
    </cfRule>
  </conditionalFormatting>
  <conditionalFormatting sqref="U11">
    <cfRule type="cellIs" dxfId="634" priority="1" operator="between">
      <formula>0.76</formula>
      <formula>0.95</formula>
    </cfRule>
    <cfRule type="cellIs" dxfId="633" priority="2" operator="between">
      <formula>0.51</formula>
      <formula>0.75</formula>
    </cfRule>
    <cfRule type="cellIs" dxfId="632" priority="3" operator="greaterThan">
      <formula>1</formula>
    </cfRule>
    <cfRule type="cellIs" dxfId="631" priority="4" operator="between">
      <formula>0.95</formula>
      <formula>1</formula>
    </cfRule>
    <cfRule type="cellIs" dxfId="630" priority="5" stopIfTrue="1" operator="between">
      <formula>0</formula>
      <formula>0.5</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
  <sheetViews>
    <sheetView showGridLines="0" workbookViewId="0">
      <selection sqref="A1:A3"/>
    </sheetView>
  </sheetViews>
  <sheetFormatPr baseColWidth="10" defaultRowHeight="15" x14ac:dyDescent="0.25"/>
  <cols>
    <col min="1" max="1" width="49" customWidth="1"/>
    <col min="2" max="2" width="2.28515625" customWidth="1"/>
    <col min="3" max="3" width="21.7109375" customWidth="1"/>
    <col min="4" max="4" width="3.28515625" customWidth="1"/>
    <col min="5" max="5" width="21.7109375" customWidth="1"/>
    <col min="6" max="6" width="3.28515625" customWidth="1"/>
    <col min="7" max="7" width="2.7109375" customWidth="1"/>
    <col min="8" max="8" width="21.7109375" customWidth="1"/>
    <col min="9" max="9" width="3.28515625" customWidth="1"/>
    <col min="10" max="10" width="21.7109375" customWidth="1"/>
    <col min="11" max="11" width="3.28515625" customWidth="1"/>
    <col min="12" max="12" width="3.140625" customWidth="1"/>
    <col min="13" max="13" width="21.7109375" customWidth="1"/>
    <col min="14" max="14" width="3.28515625" customWidth="1"/>
    <col min="15" max="15" width="21.7109375" customWidth="1"/>
    <col min="16" max="16" width="3.28515625" customWidth="1"/>
    <col min="17" max="17" width="2.85546875" customWidth="1"/>
    <col min="18" max="18" width="21.7109375" customWidth="1"/>
    <col min="19" max="19" width="3.28515625" customWidth="1"/>
    <col min="20" max="20" width="21.7109375" customWidth="1"/>
    <col min="21" max="21" width="3.28515625" customWidth="1"/>
  </cols>
  <sheetData>
    <row r="1" spans="1:21" ht="15" customHeight="1" x14ac:dyDescent="0.25">
      <c r="A1" s="893"/>
      <c r="B1" s="896" t="s">
        <v>966</v>
      </c>
      <c r="C1" s="897"/>
      <c r="D1" s="874"/>
      <c r="E1" s="876" t="s">
        <v>967</v>
      </c>
      <c r="F1" s="897"/>
      <c r="G1" s="897"/>
      <c r="H1" s="897"/>
      <c r="I1" s="897"/>
      <c r="J1" s="897"/>
      <c r="K1" s="897"/>
      <c r="L1" s="897"/>
      <c r="M1" s="897"/>
      <c r="N1" s="897"/>
      <c r="O1" s="897"/>
      <c r="P1" s="897"/>
      <c r="Q1" s="897"/>
      <c r="R1" s="899"/>
      <c r="S1" s="1057"/>
      <c r="T1" s="1057"/>
      <c r="U1" s="900"/>
    </row>
    <row r="2" spans="1:21" ht="15" customHeight="1" x14ac:dyDescent="0.25">
      <c r="A2" s="894"/>
      <c r="B2" s="905" t="s">
        <v>968</v>
      </c>
      <c r="C2" s="906"/>
      <c r="D2" s="885"/>
      <c r="E2" s="886" t="s">
        <v>800</v>
      </c>
      <c r="F2" s="906"/>
      <c r="G2" s="906"/>
      <c r="H2" s="906"/>
      <c r="I2" s="906"/>
      <c r="J2" s="906"/>
      <c r="K2" s="906"/>
      <c r="L2" s="906"/>
      <c r="M2" s="906"/>
      <c r="N2" s="906"/>
      <c r="O2" s="906"/>
      <c r="P2" s="906"/>
      <c r="Q2" s="906"/>
      <c r="R2" s="901"/>
      <c r="S2" s="1056"/>
      <c r="T2" s="1056"/>
      <c r="U2" s="902"/>
    </row>
    <row r="3" spans="1:21" ht="15.75" customHeight="1" thickBot="1" x14ac:dyDescent="0.3">
      <c r="A3" s="895"/>
      <c r="B3" s="908" t="s">
        <v>857</v>
      </c>
      <c r="C3" s="1036"/>
      <c r="D3" s="887"/>
      <c r="E3" s="889" t="s">
        <v>972</v>
      </c>
      <c r="F3" s="887"/>
      <c r="G3" s="909" t="s">
        <v>974</v>
      </c>
      <c r="H3" s="910"/>
      <c r="I3" s="910"/>
      <c r="J3" s="910"/>
      <c r="K3" s="910"/>
      <c r="L3" s="910"/>
      <c r="M3" s="910"/>
      <c r="N3" s="911"/>
      <c r="O3" s="480" t="s">
        <v>971</v>
      </c>
      <c r="P3" s="889">
        <v>1</v>
      </c>
      <c r="Q3" s="1036"/>
      <c r="R3" s="903"/>
      <c r="S3" s="1058"/>
      <c r="T3" s="1058"/>
      <c r="U3" s="904"/>
    </row>
    <row r="4" spans="1:21" ht="15.75" thickBot="1" x14ac:dyDescent="0.3"/>
    <row r="5" spans="1:21" ht="72.75" customHeight="1" thickBot="1" x14ac:dyDescent="0.3">
      <c r="A5" s="289" t="s">
        <v>795</v>
      </c>
      <c r="B5" s="296"/>
      <c r="C5" s="1017" t="s">
        <v>876</v>
      </c>
      <c r="D5" s="1018"/>
      <c r="E5" s="1017" t="s">
        <v>818</v>
      </c>
      <c r="F5" s="1018"/>
      <c r="H5" s="1017" t="s">
        <v>877</v>
      </c>
      <c r="I5" s="1018"/>
      <c r="J5" s="1017" t="s">
        <v>819</v>
      </c>
      <c r="K5" s="1018"/>
      <c r="L5" s="1043"/>
      <c r="M5" s="1017" t="s">
        <v>878</v>
      </c>
      <c r="N5" s="1018"/>
      <c r="O5" s="1017" t="s">
        <v>820</v>
      </c>
      <c r="P5" s="1018"/>
      <c r="Q5" s="1043"/>
      <c r="R5" s="1017" t="s">
        <v>879</v>
      </c>
      <c r="S5" s="1018"/>
      <c r="T5" s="1019" t="s">
        <v>821</v>
      </c>
      <c r="U5" s="1020"/>
    </row>
    <row r="6" spans="1:21" ht="18" x14ac:dyDescent="0.25">
      <c r="A6" s="298" t="s">
        <v>896</v>
      </c>
      <c r="B6" s="290"/>
      <c r="C6" s="465">
        <f>+('Cuadro Mando Integral Detallado'!I36+'Cuadro Mando Integral Detallado'!I117+'Cuadro Mando Integral Detallado'!I195+'Cuadro Mando Integral Detallado'!I215)/4</f>
        <v>0.98287622115903162</v>
      </c>
      <c r="D6" s="466">
        <f>+C6</f>
        <v>0.98287622115903162</v>
      </c>
      <c r="E6" s="465">
        <f>+('Cuadro Mando Integral Detallado'!J36+'Cuadro Mando Integral Detallado'!J117+'Cuadro Mando Integral Detallado'!J195+'Cuadro Mando Integral Detallado'!J215)/4</f>
        <v>0.24381031568262362</v>
      </c>
      <c r="F6" s="466">
        <f>+E6</f>
        <v>0.24381031568262362</v>
      </c>
      <c r="G6" s="177"/>
      <c r="H6" s="465">
        <f>+('Cuadro Mando Integral Detallado'!M36+'Cuadro Mando Integral Detallado'!M117+'Cuadro Mando Integral Detallado'!M195+'Cuadro Mando Integral Detallado'!M215)/4</f>
        <v>0</v>
      </c>
      <c r="I6" s="1074">
        <f>+H6</f>
        <v>0</v>
      </c>
      <c r="J6" s="465">
        <f>+('Cuadro Mando Integral Detallado'!N36+'Cuadro Mando Integral Detallado'!N117+'Cuadro Mando Integral Detallado'!N195+'Cuadro Mando Integral Detallado'!N215)/4</f>
        <v>0.24381031568262362</v>
      </c>
      <c r="K6" s="1059">
        <f>+J6</f>
        <v>0.24381031568262362</v>
      </c>
      <c r="L6" s="1046"/>
      <c r="M6" s="465">
        <f>+('Cuadro Mando Integral Detallado'!Q36+'Cuadro Mando Integral Detallado'!Q117+'Cuadro Mando Integral Detallado'!Q195+'Cuadro Mando Integral Detallado'!Q215)/4</f>
        <v>0</v>
      </c>
      <c r="N6" s="466">
        <f>+M6</f>
        <v>0</v>
      </c>
      <c r="O6" s="465">
        <f>+('Cuadro Mando Integral Detallado'!R36+'Cuadro Mando Integral Detallado'!R117+'Cuadro Mando Integral Detallado'!R195+'Cuadro Mando Integral Detallado'!R215)/4</f>
        <v>0.24381031568262362</v>
      </c>
      <c r="P6" s="1021"/>
      <c r="Q6" s="1046"/>
      <c r="R6" s="465">
        <f>+('Cuadro Mando Integral Detallado'!U36+'Cuadro Mando Integral Detallado'!U117+'Cuadro Mando Integral Detallado'!U195+'Cuadro Mando Integral Detallado'!U215)/4</f>
        <v>0</v>
      </c>
      <c r="S6" s="1075">
        <f>+R6</f>
        <v>0</v>
      </c>
      <c r="T6" s="465">
        <f>+('Cuadro Mando Integral Detallado'!V36+'Cuadro Mando Integral Detallado'!V117+'Cuadro Mando Integral Detallado'!V195+'Cuadro Mando Integral Detallado'!V215)/4</f>
        <v>0.24381031568262362</v>
      </c>
      <c r="U6" s="1021">
        <f>+T6</f>
        <v>0.24381031568262362</v>
      </c>
    </row>
    <row r="7" spans="1:21" ht="54" x14ac:dyDescent="0.25">
      <c r="A7" s="293" t="s">
        <v>897</v>
      </c>
      <c r="B7" s="290"/>
      <c r="C7" s="294">
        <f>+('Cuadro Mando Integral Detallado'!I64+'Cuadro Mando Integral Detallado'!I149)/2</f>
        <v>1.0255122070665927</v>
      </c>
      <c r="D7" s="467">
        <f>+C7</f>
        <v>1.0255122070665927</v>
      </c>
      <c r="E7" s="294">
        <f>+('Cuadro Mando Integral Detallado'!J64+'Cuadro Mando Integral Detallado'!J149)/2</f>
        <v>0.21864050002565871</v>
      </c>
      <c r="F7" s="467">
        <f>+E7</f>
        <v>0.21864050002565871</v>
      </c>
      <c r="G7" s="163"/>
      <c r="H7" s="294">
        <f>+('Cuadro Mando Integral Detallado'!M64+'Cuadro Mando Integral Detallado'!M149)/2</f>
        <v>0</v>
      </c>
      <c r="I7" s="1070">
        <f>+H7</f>
        <v>0</v>
      </c>
      <c r="J7" s="294">
        <f>+('Cuadro Mando Integral Detallado'!N64+'Cuadro Mando Integral Detallado'!N149)/2</f>
        <v>0.21864050002565871</v>
      </c>
      <c r="K7" s="1060">
        <f>+J7</f>
        <v>0.21864050002565871</v>
      </c>
      <c r="L7" s="1046"/>
      <c r="M7" s="294">
        <f>+('Cuadro Mando Integral Detallado'!Q64+'Cuadro Mando Integral Detallado'!Q149)/2</f>
        <v>0</v>
      </c>
      <c r="N7" s="467">
        <f>+M7</f>
        <v>0</v>
      </c>
      <c r="O7" s="294">
        <f>+('Cuadro Mando Integral Detallado'!R64+'Cuadro Mando Integral Detallado'!R149)/2</f>
        <v>0.21951932743690977</v>
      </c>
      <c r="P7" s="1022"/>
      <c r="Q7" s="1046"/>
      <c r="R7" s="294">
        <f>+('Cuadro Mando Integral Detallado'!U64+'Cuadro Mando Integral Detallado'!U149)/2</f>
        <v>0</v>
      </c>
      <c r="S7" s="1076">
        <f>+R7</f>
        <v>0</v>
      </c>
      <c r="T7" s="294">
        <f>+('Cuadro Mando Integral Detallado'!V64+'Cuadro Mando Integral Detallado'!V149)/2</f>
        <v>0.21864050002565871</v>
      </c>
      <c r="U7" s="1022">
        <f>+T7</f>
        <v>0.21864050002565871</v>
      </c>
    </row>
    <row r="8" spans="1:21" ht="54" x14ac:dyDescent="0.25">
      <c r="A8" s="293" t="s">
        <v>898</v>
      </c>
      <c r="B8" s="290"/>
      <c r="C8" s="294">
        <f>+('Cuadro Mando Integral Detallado'!I103+'Cuadro Mando Integral Detallado'!I140+'Cuadro Mando Integral Detallado'!I198)/3</f>
        <v>0.83255838204496735</v>
      </c>
      <c r="D8" s="467">
        <f>+C8</f>
        <v>0.83255838204496735</v>
      </c>
      <c r="E8" s="294">
        <f>+('Cuadro Mando Integral Detallado'!J103+'Cuadro Mando Integral Detallado'!J140+'Cuadro Mando Integral Detallado'!J198)/3</f>
        <v>0.3317687878320244</v>
      </c>
      <c r="F8" s="467">
        <f>+E8</f>
        <v>0.3317687878320244</v>
      </c>
      <c r="G8" s="163"/>
      <c r="H8" s="294">
        <f>+('Cuadro Mando Integral Detallado'!M103+'Cuadro Mando Integral Detallado'!M140+'Cuadro Mando Integral Detallado'!M198)/3</f>
        <v>0</v>
      </c>
      <c r="I8" s="1070">
        <f>+H8</f>
        <v>0</v>
      </c>
      <c r="J8" s="294">
        <f>+('Cuadro Mando Integral Detallado'!N103+'Cuadro Mando Integral Detallado'!N140+'Cuadro Mando Integral Detallado'!N198)/3</f>
        <v>0.3317687878320244</v>
      </c>
      <c r="K8" s="1060">
        <f>+J8</f>
        <v>0.3317687878320244</v>
      </c>
      <c r="L8" s="1046"/>
      <c r="M8" s="294">
        <f>+('Cuadro Mando Integral Detallado'!Q103+'Cuadro Mando Integral Detallado'!Q140+'Cuadro Mando Integral Detallado'!Q198)/3</f>
        <v>0</v>
      </c>
      <c r="N8" s="467">
        <f>+M8</f>
        <v>0</v>
      </c>
      <c r="O8" s="294">
        <f>+('Cuadro Mando Integral Detallado'!R103+'Cuadro Mando Integral Detallado'!R140+'Cuadro Mando Integral Detallado'!R198)/3</f>
        <v>0.3317687878320244</v>
      </c>
      <c r="P8" s="1022"/>
      <c r="Q8" s="1046"/>
      <c r="R8" s="294">
        <f>+('Cuadro Mando Integral Detallado'!U103+'Cuadro Mando Integral Detallado'!U140+'Cuadro Mando Integral Detallado'!U198)/3</f>
        <v>0</v>
      </c>
      <c r="S8" s="1076">
        <f>+R8</f>
        <v>0</v>
      </c>
      <c r="T8" s="294">
        <f>+('Cuadro Mando Integral Detallado'!V103+'Cuadro Mando Integral Detallado'!V140+'Cuadro Mando Integral Detallado'!V198)/3</f>
        <v>0.3317687878320244</v>
      </c>
      <c r="U8" s="1022">
        <f>+T8</f>
        <v>0.3317687878320244</v>
      </c>
    </row>
    <row r="9" spans="1:21" ht="36" x14ac:dyDescent="0.25">
      <c r="A9" s="293" t="s">
        <v>899</v>
      </c>
      <c r="B9" s="290"/>
      <c r="C9" s="294">
        <f>+('Cuadro Mando Integral Detallado'!I74+'Cuadro Mando Integral Detallado'!I202)/2</f>
        <v>0.71961166298828549</v>
      </c>
      <c r="D9" s="467">
        <f>+C9</f>
        <v>0.71961166298828549</v>
      </c>
      <c r="E9" s="294">
        <f>+('Cuadro Mando Integral Detallado'!J74+'Cuadro Mando Integral Detallado'!J202)/2</f>
        <v>5.1608601101650692E-2</v>
      </c>
      <c r="F9" s="467">
        <f>+E9</f>
        <v>5.1608601101650692E-2</v>
      </c>
      <c r="G9" s="163"/>
      <c r="H9" s="294">
        <f>+('Cuadro Mando Integral Detallado'!M74+'Cuadro Mando Integral Detallado'!M202)/2</f>
        <v>0</v>
      </c>
      <c r="I9" s="1070">
        <f>+H9</f>
        <v>0</v>
      </c>
      <c r="J9" s="294">
        <f>+('Cuadro Mando Integral Detallado'!N74+'Cuadro Mando Integral Detallado'!N202)/2</f>
        <v>5.1608601101650692E-2</v>
      </c>
      <c r="K9" s="1060">
        <f>+J9</f>
        <v>5.1608601101650692E-2</v>
      </c>
      <c r="L9" s="1046"/>
      <c r="M9" s="294">
        <f>+('Cuadro Mando Integral Detallado'!Q74+'Cuadro Mando Integral Detallado'!Q202)/2</f>
        <v>0</v>
      </c>
      <c r="N9" s="467">
        <f>+M9</f>
        <v>0</v>
      </c>
      <c r="O9" s="294">
        <f>+('Cuadro Mando Integral Detallado'!R74+'Cuadro Mando Integral Detallado'!R202)/2</f>
        <v>5.1608601101650692E-2</v>
      </c>
      <c r="P9" s="1022"/>
      <c r="Q9" s="1046"/>
      <c r="R9" s="294">
        <f>+('Cuadro Mando Integral Detallado'!U74+'Cuadro Mando Integral Detallado'!U202)/2</f>
        <v>0</v>
      </c>
      <c r="S9" s="1076">
        <f>+R9</f>
        <v>0</v>
      </c>
      <c r="T9" s="294">
        <f>+('Cuadro Mando Integral Detallado'!V74+'Cuadro Mando Integral Detallado'!V202)/2</f>
        <v>5.1608601101650692E-2</v>
      </c>
      <c r="U9" s="1022">
        <f>+T9</f>
        <v>5.1608601101650692E-2</v>
      </c>
    </row>
    <row r="10" spans="1:21" ht="36" x14ac:dyDescent="0.25">
      <c r="A10" s="293" t="s">
        <v>146</v>
      </c>
      <c r="B10" s="290"/>
      <c r="C10" s="1050">
        <f>+('Cuadro Mando Integral Detallado'!I95+'Cuadro Mando Integral Detallado'!I161+'Cuadro Mando Integral Detallado'!I210)/3</f>
        <v>0.58003772175027857</v>
      </c>
      <c r="D10" s="1049">
        <f>+C10</f>
        <v>0.58003772175027857</v>
      </c>
      <c r="E10" s="294">
        <f>+('Cuadro Mando Integral Detallado'!J95+'Cuadro Mando Integral Detallado'!J161+'Cuadro Mando Integral Detallado'!J210)/3</f>
        <v>0.14593919249794535</v>
      </c>
      <c r="F10" s="467">
        <f>+E10</f>
        <v>0.14593919249794535</v>
      </c>
      <c r="G10" s="163"/>
      <c r="H10" s="294">
        <f ca="1">+('Cuadro Mando Integral Detallado'!M95+'Cuadro Mando Integral Detallado'!M161+'Cuadro Mando Integral Detallado'!M210)/3</f>
        <v>0</v>
      </c>
      <c r="I10" s="1070">
        <f ca="1">+H10</f>
        <v>0</v>
      </c>
      <c r="J10" s="294">
        <f>+('Cuadro Mando Integral Detallado'!N95+'Cuadro Mando Integral Detallado'!N161+'Cuadro Mando Integral Detallado'!N210)/3</f>
        <v>0.14593919249794535</v>
      </c>
      <c r="K10" s="1060">
        <f>+J10</f>
        <v>0.14593919249794535</v>
      </c>
      <c r="L10" s="1046"/>
      <c r="M10" s="294">
        <f ca="1">+('Cuadro Mando Integral Detallado'!Q95+'Cuadro Mando Integral Detallado'!Q161+'Cuadro Mando Integral Detallado'!Q210)/3</f>
        <v>0</v>
      </c>
      <c r="N10" s="467">
        <f ca="1">+M10</f>
        <v>0</v>
      </c>
      <c r="O10" s="294">
        <f>+('Cuadro Mando Integral Detallado'!R95+'Cuadro Mando Integral Detallado'!R161+'Cuadro Mando Integral Detallado'!R210)/3</f>
        <v>0.14593919249794535</v>
      </c>
      <c r="P10" s="1022"/>
      <c r="Q10" s="1046"/>
      <c r="R10" s="294">
        <f ca="1">+('Cuadro Mando Integral Detallado'!U95+'Cuadro Mando Integral Detallado'!U161+'Cuadro Mando Integral Detallado'!U210)/3</f>
        <v>0</v>
      </c>
      <c r="S10" s="1076">
        <f ca="1">+R10</f>
        <v>0</v>
      </c>
      <c r="T10" s="294">
        <f>+('Cuadro Mando Integral Detallado'!V95+'Cuadro Mando Integral Detallado'!V161+'Cuadro Mando Integral Detallado'!V210)/3</f>
        <v>0.14593919249794535</v>
      </c>
      <c r="U10" s="1022">
        <f>+T10</f>
        <v>0.14593919249794535</v>
      </c>
    </row>
    <row r="11" spans="1:21" ht="36.75" thickBot="1" x14ac:dyDescent="0.3">
      <c r="A11" s="295" t="s">
        <v>900</v>
      </c>
      <c r="B11" s="290"/>
      <c r="C11" s="297">
        <f>+'Cuadro Mando Integral Detallado'!I171</f>
        <v>1</v>
      </c>
      <c r="D11" s="468">
        <f>+C11</f>
        <v>1</v>
      </c>
      <c r="E11" s="297">
        <f>+'Cuadro Mando Integral Detallado'!J171</f>
        <v>0.25</v>
      </c>
      <c r="F11" s="468">
        <f>+E11</f>
        <v>0.25</v>
      </c>
      <c r="G11" s="163"/>
      <c r="H11" s="297">
        <f>+'Cuadro Mando Integral Detallado'!M171</f>
        <v>0</v>
      </c>
      <c r="I11" s="1071">
        <f>+H11</f>
        <v>0</v>
      </c>
      <c r="J11" s="297">
        <f>+'Cuadro Mando Integral Detallado'!N171</f>
        <v>0.25</v>
      </c>
      <c r="K11" s="1065">
        <f>+J11</f>
        <v>0.25</v>
      </c>
      <c r="L11" s="1046"/>
      <c r="M11" s="297">
        <f>+'Cuadro Mando Integral Detallado'!Q171</f>
        <v>0</v>
      </c>
      <c r="N11" s="468">
        <f>+M11</f>
        <v>0</v>
      </c>
      <c r="O11" s="297">
        <f>+'Cuadro Mando Integral Detallado'!R171</f>
        <v>0.25</v>
      </c>
      <c r="P11" s="1023"/>
      <c r="Q11" s="1046"/>
      <c r="R11" s="297">
        <f>+'Cuadro Mando Integral Detallado'!U171</f>
        <v>0</v>
      </c>
      <c r="S11" s="1077">
        <f>+R11</f>
        <v>0</v>
      </c>
      <c r="T11" s="297">
        <f>+'Cuadro Mando Integral Detallado'!V171</f>
        <v>0.25</v>
      </c>
      <c r="U11" s="1023">
        <f>+T11</f>
        <v>0.25</v>
      </c>
    </row>
  </sheetData>
  <mergeCells count="18">
    <mergeCell ref="T5:U5"/>
    <mergeCell ref="R1:U3"/>
    <mergeCell ref="P3:Q3"/>
    <mergeCell ref="G3:N3"/>
    <mergeCell ref="H5:I5"/>
    <mergeCell ref="J5:K5"/>
    <mergeCell ref="M5:N5"/>
    <mergeCell ref="O5:P5"/>
    <mergeCell ref="R5:S5"/>
    <mergeCell ref="C5:D5"/>
    <mergeCell ref="E5:F5"/>
    <mergeCell ref="B1:D1"/>
    <mergeCell ref="B2:D2"/>
    <mergeCell ref="B3:D3"/>
    <mergeCell ref="E3:F3"/>
    <mergeCell ref="A1:A3"/>
    <mergeCell ref="E1:Q1"/>
    <mergeCell ref="E2:Q2"/>
  </mergeCells>
  <conditionalFormatting sqref="I6">
    <cfRule type="cellIs" dxfId="629" priority="629" operator="between">
      <formula>0.76</formula>
      <formula>0.95</formula>
    </cfRule>
    <cfRule type="cellIs" dxfId="628" priority="630" operator="between">
      <formula>0.51</formula>
      <formula>0.75</formula>
    </cfRule>
    <cfRule type="cellIs" dxfId="627" priority="631" operator="greaterThan">
      <formula>1</formula>
    </cfRule>
    <cfRule type="cellIs" dxfId="626" priority="632" operator="between">
      <formula>0.95</formula>
      <formula>1</formula>
    </cfRule>
    <cfRule type="cellIs" dxfId="625" priority="633" stopIfTrue="1" operator="between">
      <formula>0</formula>
      <formula>0.5</formula>
    </cfRule>
  </conditionalFormatting>
  <conditionalFormatting sqref="I7">
    <cfRule type="cellIs" dxfId="624" priority="624" operator="between">
      <formula>0.76</formula>
      <formula>0.95</formula>
    </cfRule>
    <cfRule type="cellIs" dxfId="623" priority="625" operator="between">
      <formula>0.51</formula>
      <formula>0.75</formula>
    </cfRule>
    <cfRule type="cellIs" dxfId="622" priority="626" operator="greaterThan">
      <formula>1</formula>
    </cfRule>
    <cfRule type="cellIs" dxfId="621" priority="627" operator="between">
      <formula>0.95</formula>
      <formula>1</formula>
    </cfRule>
    <cfRule type="cellIs" dxfId="620" priority="628" stopIfTrue="1" operator="between">
      <formula>0</formula>
      <formula>0.5</formula>
    </cfRule>
  </conditionalFormatting>
  <conditionalFormatting sqref="I8">
    <cfRule type="cellIs" dxfId="619" priority="619" operator="between">
      <formula>0.76</formula>
      <formula>0.95</formula>
    </cfRule>
    <cfRule type="cellIs" dxfId="618" priority="620" operator="between">
      <formula>0.51</formula>
      <formula>0.75</formula>
    </cfRule>
    <cfRule type="cellIs" dxfId="617" priority="621" operator="greaterThan">
      <formula>1</formula>
    </cfRule>
    <cfRule type="cellIs" dxfId="616" priority="622" operator="between">
      <formula>0.95</formula>
      <formula>1</formula>
    </cfRule>
    <cfRule type="cellIs" dxfId="615" priority="623" stopIfTrue="1" operator="between">
      <formula>0</formula>
      <formula>0.5</formula>
    </cfRule>
  </conditionalFormatting>
  <conditionalFormatting sqref="I9">
    <cfRule type="cellIs" dxfId="614" priority="614" operator="between">
      <formula>0.76</formula>
      <formula>0.95</formula>
    </cfRule>
    <cfRule type="cellIs" dxfId="613" priority="615" operator="between">
      <formula>0.51</formula>
      <formula>0.75</formula>
    </cfRule>
    <cfRule type="cellIs" dxfId="612" priority="616" operator="greaterThan">
      <formula>1</formula>
    </cfRule>
    <cfRule type="cellIs" dxfId="611" priority="617" operator="between">
      <formula>0.95</formula>
      <formula>1</formula>
    </cfRule>
    <cfRule type="cellIs" dxfId="610" priority="618" stopIfTrue="1" operator="between">
      <formula>0</formula>
      <formula>0.5</formula>
    </cfRule>
  </conditionalFormatting>
  <conditionalFormatting sqref="I10">
    <cfRule type="cellIs" dxfId="609" priority="609" operator="between">
      <formula>0.76</formula>
      <formula>0.95</formula>
    </cfRule>
    <cfRule type="cellIs" dxfId="608" priority="610" operator="between">
      <formula>0.51</formula>
      <formula>0.75</formula>
    </cfRule>
    <cfRule type="cellIs" dxfId="607" priority="611" operator="greaterThan">
      <formula>1</formula>
    </cfRule>
    <cfRule type="cellIs" dxfId="606" priority="612" operator="between">
      <formula>0.95</formula>
      <formula>1</formula>
    </cfRule>
    <cfRule type="cellIs" dxfId="605" priority="613" stopIfTrue="1" operator="between">
      <formula>0</formula>
      <formula>0.5</formula>
    </cfRule>
  </conditionalFormatting>
  <conditionalFormatting sqref="I11">
    <cfRule type="cellIs" dxfId="604" priority="604" operator="between">
      <formula>0.76</formula>
      <formula>0.95</formula>
    </cfRule>
    <cfRule type="cellIs" dxfId="603" priority="605" operator="between">
      <formula>0.51</formula>
      <formula>0.75</formula>
    </cfRule>
    <cfRule type="cellIs" dxfId="602" priority="606" operator="greaterThan">
      <formula>1</formula>
    </cfRule>
    <cfRule type="cellIs" dxfId="601" priority="607" operator="between">
      <formula>0.95</formula>
      <formula>1</formula>
    </cfRule>
    <cfRule type="cellIs" dxfId="600" priority="608" stopIfTrue="1" operator="between">
      <formula>0</formula>
      <formula>0.5</formula>
    </cfRule>
  </conditionalFormatting>
  <conditionalFormatting sqref="F6">
    <cfRule type="cellIs" dxfId="599" priority="396" operator="between">
      <formula>0.191</formula>
      <formula>0.24</formula>
    </cfRule>
    <cfRule type="cellIs" dxfId="598" priority="397" operator="between">
      <formula>0.1251</formula>
      <formula>0.19</formula>
    </cfRule>
    <cfRule type="cellIs" dxfId="597" priority="398" operator="greaterThan">
      <formula>0.2601</formula>
    </cfRule>
    <cfRule type="cellIs" dxfId="596" priority="399" operator="between">
      <formula>0.2401</formula>
      <formula>0.26</formula>
    </cfRule>
    <cfRule type="cellIs" dxfId="595" priority="400" stopIfTrue="1" operator="between">
      <formula>0</formula>
      <formula>0.125</formula>
    </cfRule>
  </conditionalFormatting>
  <conditionalFormatting sqref="F7">
    <cfRule type="cellIs" dxfId="594" priority="391" operator="between">
      <formula>0.191</formula>
      <formula>0.24</formula>
    </cfRule>
    <cfRule type="cellIs" dxfId="593" priority="392" operator="between">
      <formula>0.1251</formula>
      <formula>0.19</formula>
    </cfRule>
    <cfRule type="cellIs" dxfId="592" priority="393" operator="greaterThan">
      <formula>0.2601</formula>
    </cfRule>
    <cfRule type="cellIs" dxfId="591" priority="394" operator="between">
      <formula>0.2401</formula>
      <formula>0.26</formula>
    </cfRule>
    <cfRule type="cellIs" dxfId="590" priority="395" stopIfTrue="1" operator="between">
      <formula>0</formula>
      <formula>0.125</formula>
    </cfRule>
  </conditionalFormatting>
  <conditionalFormatting sqref="F8">
    <cfRule type="cellIs" dxfId="589" priority="386" operator="between">
      <formula>0.191</formula>
      <formula>0.24</formula>
    </cfRule>
    <cfRule type="cellIs" dxfId="588" priority="387" operator="between">
      <formula>0.1251</formula>
      <formula>0.19</formula>
    </cfRule>
    <cfRule type="cellIs" dxfId="587" priority="388" operator="greaterThan">
      <formula>0.2601</formula>
    </cfRule>
    <cfRule type="cellIs" dxfId="586" priority="389" operator="between">
      <formula>0.2401</formula>
      <formula>0.26</formula>
    </cfRule>
    <cfRule type="cellIs" dxfId="585" priority="390" stopIfTrue="1" operator="between">
      <formula>0</formula>
      <formula>0.125</formula>
    </cfRule>
  </conditionalFormatting>
  <conditionalFormatting sqref="F9">
    <cfRule type="cellIs" dxfId="584" priority="381" operator="between">
      <formula>0.191</formula>
      <formula>0.24</formula>
    </cfRule>
    <cfRule type="cellIs" dxfId="583" priority="382" operator="between">
      <formula>0.1251</formula>
      <formula>0.19</formula>
    </cfRule>
    <cfRule type="cellIs" dxfId="582" priority="383" operator="greaterThan">
      <formula>0.2601</formula>
    </cfRule>
    <cfRule type="cellIs" dxfId="581" priority="384" operator="between">
      <formula>0.2401</formula>
      <formula>0.26</formula>
    </cfRule>
    <cfRule type="cellIs" dxfId="580" priority="385" stopIfTrue="1" operator="between">
      <formula>0</formula>
      <formula>0.125</formula>
    </cfRule>
  </conditionalFormatting>
  <conditionalFormatting sqref="F10">
    <cfRule type="cellIs" dxfId="579" priority="376" operator="between">
      <formula>0.191</formula>
      <formula>0.24</formula>
    </cfRule>
    <cfRule type="cellIs" dxfId="578" priority="377" operator="between">
      <formula>0.1251</formula>
      <formula>0.19</formula>
    </cfRule>
    <cfRule type="cellIs" dxfId="577" priority="378" operator="greaterThan">
      <formula>0.2601</formula>
    </cfRule>
    <cfRule type="cellIs" dxfId="576" priority="379" operator="between">
      <formula>0.2401</formula>
      <formula>0.26</formula>
    </cfRule>
    <cfRule type="cellIs" dxfId="575" priority="380" stopIfTrue="1" operator="between">
      <formula>0</formula>
      <formula>0.125</formula>
    </cfRule>
  </conditionalFormatting>
  <conditionalFormatting sqref="F11">
    <cfRule type="cellIs" dxfId="574" priority="371" operator="between">
      <formula>0.191</formula>
      <formula>0.24</formula>
    </cfRule>
    <cfRule type="cellIs" dxfId="573" priority="372" operator="between">
      <formula>0.1251</formula>
      <formula>0.19</formula>
    </cfRule>
    <cfRule type="cellIs" dxfId="572" priority="373" operator="greaterThan">
      <formula>0.2601</formula>
    </cfRule>
    <cfRule type="cellIs" dxfId="571" priority="374" operator="between">
      <formula>0.2401</formula>
      <formula>0.26</formula>
    </cfRule>
    <cfRule type="cellIs" dxfId="570" priority="375" stopIfTrue="1" operator="between">
      <formula>0</formula>
      <formula>0.125</formula>
    </cfRule>
  </conditionalFormatting>
  <conditionalFormatting sqref="D6">
    <cfRule type="cellIs" dxfId="569" priority="246" operator="between">
      <formula>0.76</formula>
      <formula>0.95</formula>
    </cfRule>
    <cfRule type="cellIs" dxfId="568" priority="247" operator="between">
      <formula>0.51</formula>
      <formula>0.75</formula>
    </cfRule>
    <cfRule type="cellIs" dxfId="567" priority="248" operator="greaterThan">
      <formula>1</formula>
    </cfRule>
    <cfRule type="cellIs" dxfId="566" priority="249" operator="between">
      <formula>0.95</formula>
      <formula>1</formula>
    </cfRule>
    <cfRule type="cellIs" dxfId="565" priority="250" stopIfTrue="1" operator="between">
      <formula>0</formula>
      <formula>0.5</formula>
    </cfRule>
  </conditionalFormatting>
  <conditionalFormatting sqref="D7">
    <cfRule type="cellIs" dxfId="564" priority="241" operator="between">
      <formula>0.76</formula>
      <formula>0.95</formula>
    </cfRule>
    <cfRule type="cellIs" dxfId="563" priority="242" operator="between">
      <formula>0.51</formula>
      <formula>0.75</formula>
    </cfRule>
    <cfRule type="cellIs" dxfId="562" priority="243" operator="greaterThan">
      <formula>1</formula>
    </cfRule>
    <cfRule type="cellIs" dxfId="561" priority="244" operator="between">
      <formula>0.95</formula>
      <formula>1</formula>
    </cfRule>
    <cfRule type="cellIs" dxfId="560" priority="245" stopIfTrue="1" operator="between">
      <formula>0</formula>
      <formula>0.5</formula>
    </cfRule>
  </conditionalFormatting>
  <conditionalFormatting sqref="D8">
    <cfRule type="cellIs" dxfId="559" priority="236" operator="between">
      <formula>0.76</formula>
      <formula>0.95</formula>
    </cfRule>
    <cfRule type="cellIs" dxfId="558" priority="237" operator="between">
      <formula>0.51</formula>
      <formula>0.75</formula>
    </cfRule>
    <cfRule type="cellIs" dxfId="557" priority="238" operator="greaterThan">
      <formula>1</formula>
    </cfRule>
    <cfRule type="cellIs" dxfId="556" priority="239" operator="between">
      <formula>0.95</formula>
      <formula>1</formula>
    </cfRule>
    <cfRule type="cellIs" dxfId="555" priority="240" stopIfTrue="1" operator="between">
      <formula>0</formula>
      <formula>0.5</formula>
    </cfRule>
  </conditionalFormatting>
  <conditionalFormatting sqref="D9">
    <cfRule type="cellIs" dxfId="554" priority="231" operator="between">
      <formula>0.76</formula>
      <formula>0.95</formula>
    </cfRule>
    <cfRule type="cellIs" dxfId="553" priority="232" operator="between">
      <formula>0.51</formula>
      <formula>0.75</formula>
    </cfRule>
    <cfRule type="cellIs" dxfId="552" priority="233" operator="greaterThan">
      <formula>1</formula>
    </cfRule>
    <cfRule type="cellIs" dxfId="551" priority="234" operator="between">
      <formula>0.95</formula>
      <formula>1</formula>
    </cfRule>
    <cfRule type="cellIs" dxfId="550" priority="235" stopIfTrue="1" operator="between">
      <formula>0</formula>
      <formula>0.5</formula>
    </cfRule>
  </conditionalFormatting>
  <conditionalFormatting sqref="D10">
    <cfRule type="cellIs" dxfId="549" priority="226" operator="between">
      <formula>0.76</formula>
      <formula>0.95</formula>
    </cfRule>
    <cfRule type="cellIs" dxfId="548" priority="227" operator="between">
      <formula>0.51</formula>
      <formula>0.75</formula>
    </cfRule>
    <cfRule type="cellIs" dxfId="547" priority="228" operator="greaterThan">
      <formula>1</formula>
    </cfRule>
    <cfRule type="cellIs" dxfId="546" priority="229" operator="between">
      <formula>0.95</formula>
      <formula>1</formula>
    </cfRule>
    <cfRule type="cellIs" dxfId="545" priority="230" stopIfTrue="1" operator="between">
      <formula>0</formula>
      <formula>0.5</formula>
    </cfRule>
  </conditionalFormatting>
  <conditionalFormatting sqref="D11">
    <cfRule type="cellIs" dxfId="544" priority="221" operator="between">
      <formula>0.76</formula>
      <formula>0.95</formula>
    </cfRule>
    <cfRule type="cellIs" dxfId="543" priority="222" operator="between">
      <formula>0.51</formula>
      <formula>0.75</formula>
    </cfRule>
    <cfRule type="cellIs" dxfId="542" priority="223" operator="greaterThan">
      <formula>1</formula>
    </cfRule>
    <cfRule type="cellIs" dxfId="541" priority="224" operator="between">
      <formula>0.95</formula>
      <formula>1</formula>
    </cfRule>
    <cfRule type="cellIs" dxfId="540" priority="225" stopIfTrue="1" operator="between">
      <formula>0</formula>
      <formula>0.5</formula>
    </cfRule>
  </conditionalFormatting>
  <conditionalFormatting sqref="K6">
    <cfRule type="cellIs" dxfId="539" priority="186" operator="between">
      <formula>0.38</formula>
      <formula>0.475</formula>
    </cfRule>
    <cfRule type="cellIs" dxfId="538" priority="187" operator="between">
      <formula>0.2551</formula>
      <formula>0.375</formula>
    </cfRule>
    <cfRule type="cellIs" dxfId="537" priority="188" operator="greaterThan">
      <formula>0.505</formula>
    </cfRule>
    <cfRule type="cellIs" dxfId="536" priority="189" operator="between">
      <formula>0.48</formula>
      <formula>0.51</formula>
    </cfRule>
    <cfRule type="cellIs" dxfId="535" priority="190" stopIfTrue="1" operator="between">
      <formula>0</formula>
      <formula>0.255</formula>
    </cfRule>
  </conditionalFormatting>
  <conditionalFormatting sqref="K7">
    <cfRule type="cellIs" dxfId="534" priority="181" operator="between">
      <formula>0.38</formula>
      <formula>0.475</formula>
    </cfRule>
    <cfRule type="cellIs" dxfId="533" priority="182" operator="between">
      <formula>0.2551</formula>
      <formula>0.375</formula>
    </cfRule>
    <cfRule type="cellIs" dxfId="532" priority="183" operator="greaterThan">
      <formula>0.505</formula>
    </cfRule>
    <cfRule type="cellIs" dxfId="531" priority="184" operator="between">
      <formula>0.48</formula>
      <formula>0.51</formula>
    </cfRule>
    <cfRule type="cellIs" dxfId="530" priority="185" stopIfTrue="1" operator="between">
      <formula>0</formula>
      <formula>0.255</formula>
    </cfRule>
  </conditionalFormatting>
  <conditionalFormatting sqref="K8">
    <cfRule type="cellIs" dxfId="529" priority="176" operator="between">
      <formula>0.38</formula>
      <formula>0.475</formula>
    </cfRule>
    <cfRule type="cellIs" dxfId="528" priority="177" operator="between">
      <formula>0.2551</formula>
      <formula>0.375</formula>
    </cfRule>
    <cfRule type="cellIs" dxfId="527" priority="178" operator="greaterThan">
      <formula>0.505</formula>
    </cfRule>
    <cfRule type="cellIs" dxfId="526" priority="179" operator="between">
      <formula>0.48</formula>
      <formula>0.51</formula>
    </cfRule>
    <cfRule type="cellIs" dxfId="525" priority="180" stopIfTrue="1" operator="between">
      <formula>0</formula>
      <formula>0.255</formula>
    </cfRule>
  </conditionalFormatting>
  <conditionalFormatting sqref="K9">
    <cfRule type="cellIs" dxfId="524" priority="171" operator="between">
      <formula>0.38</formula>
      <formula>0.475</formula>
    </cfRule>
    <cfRule type="cellIs" dxfId="523" priority="172" operator="between">
      <formula>0.2551</formula>
      <formula>0.375</formula>
    </cfRule>
    <cfRule type="cellIs" dxfId="522" priority="173" operator="greaterThan">
      <formula>0.505</formula>
    </cfRule>
    <cfRule type="cellIs" dxfId="521" priority="174" operator="between">
      <formula>0.48</formula>
      <formula>0.51</formula>
    </cfRule>
    <cfRule type="cellIs" dxfId="520" priority="175" stopIfTrue="1" operator="between">
      <formula>0</formula>
      <formula>0.255</formula>
    </cfRule>
  </conditionalFormatting>
  <conditionalFormatting sqref="K10">
    <cfRule type="cellIs" dxfId="519" priority="166" operator="between">
      <formula>0.38</formula>
      <formula>0.475</formula>
    </cfRule>
    <cfRule type="cellIs" dxfId="518" priority="167" operator="between">
      <formula>0.2551</formula>
      <formula>0.375</formula>
    </cfRule>
    <cfRule type="cellIs" dxfId="517" priority="168" operator="greaterThan">
      <formula>0.505</formula>
    </cfRule>
    <cfRule type="cellIs" dxfId="516" priority="169" operator="between">
      <formula>0.48</formula>
      <formula>0.51</formula>
    </cfRule>
    <cfRule type="cellIs" dxfId="515" priority="170" stopIfTrue="1" operator="between">
      <formula>0</formula>
      <formula>0.255</formula>
    </cfRule>
  </conditionalFormatting>
  <conditionalFormatting sqref="K11">
    <cfRule type="cellIs" dxfId="514" priority="161" operator="between">
      <formula>0.38</formula>
      <formula>0.475</formula>
    </cfRule>
    <cfRule type="cellIs" dxfId="513" priority="162" operator="between">
      <formula>0.2551</formula>
      <formula>0.375</formula>
    </cfRule>
    <cfRule type="cellIs" dxfId="512" priority="163" operator="greaterThan">
      <formula>0.505</formula>
    </cfRule>
    <cfRule type="cellIs" dxfId="511" priority="164" operator="between">
      <formula>0.48</formula>
      <formula>0.51</formula>
    </cfRule>
    <cfRule type="cellIs" dxfId="510" priority="165" stopIfTrue="1" operator="between">
      <formula>0</formula>
      <formula>0.255</formula>
    </cfRule>
  </conditionalFormatting>
  <conditionalFormatting sqref="N6">
    <cfRule type="cellIs" dxfId="509" priority="156" operator="between">
      <formula>0.76</formula>
      <formula>0.95</formula>
    </cfRule>
    <cfRule type="cellIs" dxfId="508" priority="157" operator="between">
      <formula>0.51</formula>
      <formula>0.75</formula>
    </cfRule>
    <cfRule type="cellIs" dxfId="507" priority="158" operator="greaterThan">
      <formula>1</formula>
    </cfRule>
    <cfRule type="cellIs" dxfId="506" priority="159" operator="between">
      <formula>0.95</formula>
      <formula>1</formula>
    </cfRule>
    <cfRule type="cellIs" dxfId="505" priority="160" stopIfTrue="1" operator="between">
      <formula>0</formula>
      <formula>0.5</formula>
    </cfRule>
  </conditionalFormatting>
  <conditionalFormatting sqref="N7">
    <cfRule type="cellIs" dxfId="504" priority="151" operator="between">
      <formula>0.76</formula>
      <formula>0.95</formula>
    </cfRule>
    <cfRule type="cellIs" dxfId="503" priority="152" operator="between">
      <formula>0.51</formula>
      <formula>0.75</formula>
    </cfRule>
    <cfRule type="cellIs" dxfId="502" priority="153" operator="greaterThan">
      <formula>1</formula>
    </cfRule>
    <cfRule type="cellIs" dxfId="501" priority="154" operator="between">
      <formula>0.95</formula>
      <formula>1</formula>
    </cfRule>
    <cfRule type="cellIs" dxfId="500" priority="155" stopIfTrue="1" operator="between">
      <formula>0</formula>
      <formula>0.5</formula>
    </cfRule>
  </conditionalFormatting>
  <conditionalFormatting sqref="N8">
    <cfRule type="cellIs" dxfId="499" priority="146" operator="between">
      <formula>0.76</formula>
      <formula>0.95</formula>
    </cfRule>
    <cfRule type="cellIs" dxfId="498" priority="147" operator="between">
      <formula>0.51</formula>
      <formula>0.75</formula>
    </cfRule>
    <cfRule type="cellIs" dxfId="497" priority="148" operator="greaterThan">
      <formula>1</formula>
    </cfRule>
    <cfRule type="cellIs" dxfId="496" priority="149" operator="between">
      <formula>0.95</formula>
      <formula>1</formula>
    </cfRule>
    <cfRule type="cellIs" dxfId="495" priority="150" stopIfTrue="1" operator="between">
      <formula>0</formula>
      <formula>0.5</formula>
    </cfRule>
  </conditionalFormatting>
  <conditionalFormatting sqref="N9">
    <cfRule type="cellIs" dxfId="494" priority="141" operator="between">
      <formula>0.76</formula>
      <formula>0.95</formula>
    </cfRule>
    <cfRule type="cellIs" dxfId="493" priority="142" operator="between">
      <formula>0.51</formula>
      <formula>0.75</formula>
    </cfRule>
    <cfRule type="cellIs" dxfId="492" priority="143" operator="greaterThan">
      <formula>1</formula>
    </cfRule>
    <cfRule type="cellIs" dxfId="491" priority="144" operator="between">
      <formula>0.95</formula>
      <formula>1</formula>
    </cfRule>
    <cfRule type="cellIs" dxfId="490" priority="145" stopIfTrue="1" operator="between">
      <formula>0</formula>
      <formula>0.5</formula>
    </cfRule>
  </conditionalFormatting>
  <conditionalFormatting sqref="N10">
    <cfRule type="cellIs" dxfId="489" priority="136" operator="between">
      <formula>0.76</formula>
      <formula>0.95</formula>
    </cfRule>
    <cfRule type="cellIs" dxfId="488" priority="137" operator="between">
      <formula>0.51</formula>
      <formula>0.75</formula>
    </cfRule>
    <cfRule type="cellIs" dxfId="487" priority="138" operator="greaterThan">
      <formula>1</formula>
    </cfRule>
    <cfRule type="cellIs" dxfId="486" priority="139" operator="between">
      <formula>0.95</formula>
      <formula>1</formula>
    </cfRule>
    <cfRule type="cellIs" dxfId="485" priority="140" stopIfTrue="1" operator="between">
      <formula>0</formula>
      <formula>0.5</formula>
    </cfRule>
  </conditionalFormatting>
  <conditionalFormatting sqref="N11">
    <cfRule type="cellIs" dxfId="484" priority="131" operator="between">
      <formula>0.76</formula>
      <formula>0.95</formula>
    </cfRule>
    <cfRule type="cellIs" dxfId="483" priority="132" operator="between">
      <formula>0.51</formula>
      <formula>0.75</formula>
    </cfRule>
    <cfRule type="cellIs" dxfId="482" priority="133" operator="greaterThan">
      <formula>1</formula>
    </cfRule>
    <cfRule type="cellIs" dxfId="481" priority="134" operator="between">
      <formula>0.95</formula>
      <formula>1</formula>
    </cfRule>
    <cfRule type="cellIs" dxfId="480" priority="135" stopIfTrue="1" operator="between">
      <formula>0</formula>
      <formula>0.5</formula>
    </cfRule>
  </conditionalFormatting>
  <conditionalFormatting sqref="P6">
    <cfRule type="cellIs" dxfId="479" priority="96" operator="between">
      <formula>0.563</formula>
      <formula>0.7125</formula>
    </cfRule>
    <cfRule type="cellIs" dxfId="478" priority="97" operator="between">
      <formula>0.3751</formula>
      <formula>0.5625</formula>
    </cfRule>
    <cfRule type="cellIs" dxfId="477" priority="98" operator="greaterThan">
      <formula>0.755</formula>
    </cfRule>
    <cfRule type="cellIs" dxfId="476" priority="99" operator="between">
      <formula>0.713</formula>
      <formula>75</formula>
    </cfRule>
    <cfRule type="cellIs" dxfId="475" priority="100" stopIfTrue="1" operator="between">
      <formula>0</formula>
      <formula>0.375</formula>
    </cfRule>
  </conditionalFormatting>
  <conditionalFormatting sqref="P8">
    <cfRule type="cellIs" dxfId="474" priority="81" operator="between">
      <formula>0.563</formula>
      <formula>0.7125</formula>
    </cfRule>
    <cfRule type="cellIs" dxfId="473" priority="82" operator="between">
      <formula>0.3751</formula>
      <formula>0.5625</formula>
    </cfRule>
    <cfRule type="cellIs" dxfId="472" priority="83" operator="greaterThan">
      <formula>0.755</formula>
    </cfRule>
    <cfRule type="cellIs" dxfId="471" priority="84" operator="between">
      <formula>0.713</formula>
      <formula>75</formula>
    </cfRule>
    <cfRule type="cellIs" dxfId="470" priority="85" stopIfTrue="1" operator="between">
      <formula>0</formula>
      <formula>0.375</formula>
    </cfRule>
  </conditionalFormatting>
  <conditionalFormatting sqref="P9">
    <cfRule type="cellIs" dxfId="469" priority="76" operator="between">
      <formula>0.563</formula>
      <formula>0.7125</formula>
    </cfRule>
    <cfRule type="cellIs" dxfId="468" priority="77" operator="between">
      <formula>0.3751</formula>
      <formula>0.5625</formula>
    </cfRule>
    <cfRule type="cellIs" dxfId="467" priority="78" operator="greaterThan">
      <formula>0.755</formula>
    </cfRule>
    <cfRule type="cellIs" dxfId="466" priority="79" operator="between">
      <formula>0.713</formula>
      <formula>75</formula>
    </cfRule>
    <cfRule type="cellIs" dxfId="465" priority="80" stopIfTrue="1" operator="between">
      <formula>0</formula>
      <formula>0.375</formula>
    </cfRule>
  </conditionalFormatting>
  <conditionalFormatting sqref="P10">
    <cfRule type="cellIs" dxfId="464" priority="71" operator="between">
      <formula>0.563</formula>
      <formula>0.7125</formula>
    </cfRule>
    <cfRule type="cellIs" dxfId="463" priority="72" operator="between">
      <formula>0.3751</formula>
      <formula>0.5625</formula>
    </cfRule>
    <cfRule type="cellIs" dxfId="462" priority="73" operator="greaterThan">
      <formula>0.755</formula>
    </cfRule>
    <cfRule type="cellIs" dxfId="461" priority="74" operator="between">
      <formula>0.713</formula>
      <formula>75</formula>
    </cfRule>
    <cfRule type="cellIs" dxfId="460" priority="75" stopIfTrue="1" operator="between">
      <formula>0</formula>
      <formula>0.375</formula>
    </cfRule>
  </conditionalFormatting>
  <conditionalFormatting sqref="P11">
    <cfRule type="cellIs" dxfId="459" priority="66" operator="between">
      <formula>0.563</formula>
      <formula>0.7125</formula>
    </cfRule>
    <cfRule type="cellIs" dxfId="458" priority="67" operator="between">
      <formula>0.3751</formula>
      <formula>0.5625</formula>
    </cfRule>
    <cfRule type="cellIs" dxfId="457" priority="68" operator="greaterThan">
      <formula>0.755</formula>
    </cfRule>
    <cfRule type="cellIs" dxfId="456" priority="69" operator="between">
      <formula>0.713</formula>
      <formula>75</formula>
    </cfRule>
    <cfRule type="cellIs" dxfId="455" priority="70" stopIfTrue="1" operator="between">
      <formula>0</formula>
      <formula>0.375</formula>
    </cfRule>
  </conditionalFormatting>
  <conditionalFormatting sqref="P7">
    <cfRule type="cellIs" dxfId="454" priority="61" operator="between">
      <formula>0.563</formula>
      <formula>0.7125</formula>
    </cfRule>
    <cfRule type="cellIs" dxfId="453" priority="62" operator="between">
      <formula>0.3751</formula>
      <formula>0.5625</formula>
    </cfRule>
    <cfRule type="cellIs" dxfId="452" priority="63" operator="greaterThan">
      <formula>0.755</formula>
    </cfRule>
    <cfRule type="cellIs" dxfId="451" priority="64" operator="between">
      <formula>0.713</formula>
      <formula>75</formula>
    </cfRule>
    <cfRule type="cellIs" dxfId="450" priority="65" stopIfTrue="1" operator="between">
      <formula>0</formula>
      <formula>0.375</formula>
    </cfRule>
  </conditionalFormatting>
  <conditionalFormatting sqref="S6">
    <cfRule type="cellIs" dxfId="449" priority="56" operator="between">
      <formula>0.76</formula>
      <formula>0.95</formula>
    </cfRule>
    <cfRule type="cellIs" dxfId="448" priority="57" operator="between">
      <formula>0.51</formula>
      <formula>0.75</formula>
    </cfRule>
    <cfRule type="cellIs" dxfId="447" priority="58" operator="greaterThan">
      <formula>1</formula>
    </cfRule>
    <cfRule type="cellIs" dxfId="446" priority="59" operator="between">
      <formula>0.95</formula>
      <formula>1</formula>
    </cfRule>
    <cfRule type="cellIs" dxfId="445" priority="60" stopIfTrue="1" operator="between">
      <formula>0</formula>
      <formula>0.5</formula>
    </cfRule>
  </conditionalFormatting>
  <conditionalFormatting sqref="S7">
    <cfRule type="cellIs" dxfId="444" priority="51" operator="between">
      <formula>0.76</formula>
      <formula>0.95</formula>
    </cfRule>
    <cfRule type="cellIs" dxfId="443" priority="52" operator="between">
      <formula>0.51</formula>
      <formula>0.75</formula>
    </cfRule>
    <cfRule type="cellIs" dxfId="442" priority="53" operator="greaterThan">
      <formula>1</formula>
    </cfRule>
    <cfRule type="cellIs" dxfId="441" priority="54" operator="between">
      <formula>0.95</formula>
      <formula>1</formula>
    </cfRule>
    <cfRule type="cellIs" dxfId="440" priority="55" stopIfTrue="1" operator="between">
      <formula>0</formula>
      <formula>0.5</formula>
    </cfRule>
  </conditionalFormatting>
  <conditionalFormatting sqref="S8">
    <cfRule type="cellIs" dxfId="439" priority="46" operator="between">
      <formula>0.76</formula>
      <formula>0.95</formula>
    </cfRule>
    <cfRule type="cellIs" dxfId="438" priority="47" operator="between">
      <formula>0.51</formula>
      <formula>0.75</formula>
    </cfRule>
    <cfRule type="cellIs" dxfId="437" priority="48" operator="greaterThan">
      <formula>1</formula>
    </cfRule>
    <cfRule type="cellIs" dxfId="436" priority="49" operator="between">
      <formula>0.95</formula>
      <formula>1</formula>
    </cfRule>
    <cfRule type="cellIs" dxfId="435" priority="50" stopIfTrue="1" operator="between">
      <formula>0</formula>
      <formula>0.5</formula>
    </cfRule>
  </conditionalFormatting>
  <conditionalFormatting sqref="S9">
    <cfRule type="cellIs" dxfId="434" priority="41" operator="between">
      <formula>0.76</formula>
      <formula>0.95</formula>
    </cfRule>
    <cfRule type="cellIs" dxfId="433" priority="42" operator="between">
      <formula>0.51</formula>
      <formula>0.75</formula>
    </cfRule>
    <cfRule type="cellIs" dxfId="432" priority="43" operator="greaterThan">
      <formula>1</formula>
    </cfRule>
    <cfRule type="cellIs" dxfId="431" priority="44" operator="between">
      <formula>0.95</formula>
      <formula>1</formula>
    </cfRule>
    <cfRule type="cellIs" dxfId="430" priority="45" stopIfTrue="1" operator="between">
      <formula>0</formula>
      <formula>0.5</formula>
    </cfRule>
  </conditionalFormatting>
  <conditionalFormatting sqref="S10">
    <cfRule type="cellIs" dxfId="429" priority="36" operator="between">
      <formula>0.76</formula>
      <formula>0.95</formula>
    </cfRule>
    <cfRule type="cellIs" dxfId="428" priority="37" operator="between">
      <formula>0.51</formula>
      <formula>0.75</formula>
    </cfRule>
    <cfRule type="cellIs" dxfId="427" priority="38" operator="greaterThan">
      <formula>1</formula>
    </cfRule>
    <cfRule type="cellIs" dxfId="426" priority="39" operator="between">
      <formula>0.95</formula>
      <formula>1</formula>
    </cfRule>
    <cfRule type="cellIs" dxfId="425" priority="40" stopIfTrue="1" operator="between">
      <formula>0</formula>
      <formula>0.5</formula>
    </cfRule>
  </conditionalFormatting>
  <conditionalFormatting sqref="S11">
    <cfRule type="cellIs" dxfId="424" priority="31" operator="between">
      <formula>0.76</formula>
      <formula>0.95</formula>
    </cfRule>
    <cfRule type="cellIs" dxfId="423" priority="32" operator="between">
      <formula>0.51</formula>
      <formula>0.75</formula>
    </cfRule>
    <cfRule type="cellIs" dxfId="422" priority="33" operator="greaterThan">
      <formula>1</formula>
    </cfRule>
    <cfRule type="cellIs" dxfId="421" priority="34" operator="between">
      <formula>0.95</formula>
      <formula>1</formula>
    </cfRule>
    <cfRule type="cellIs" dxfId="420" priority="35" stopIfTrue="1" operator="between">
      <formula>0</formula>
      <formula>0.5</formula>
    </cfRule>
  </conditionalFormatting>
  <conditionalFormatting sqref="U6">
    <cfRule type="cellIs" dxfId="419" priority="26" operator="between">
      <formula>0.76</formula>
      <formula>0.95</formula>
    </cfRule>
    <cfRule type="cellIs" dxfId="418" priority="27" operator="between">
      <formula>0.51</formula>
      <formula>0.75</formula>
    </cfRule>
    <cfRule type="cellIs" dxfId="417" priority="28" operator="greaterThan">
      <formula>1</formula>
    </cfRule>
    <cfRule type="cellIs" dxfId="416" priority="29" operator="between">
      <formula>0.95</formula>
      <formula>1</formula>
    </cfRule>
    <cfRule type="cellIs" dxfId="415" priority="30" stopIfTrue="1" operator="between">
      <formula>0</formula>
      <formula>0.5</formula>
    </cfRule>
  </conditionalFormatting>
  <conditionalFormatting sqref="U7">
    <cfRule type="cellIs" dxfId="414" priority="21" operator="between">
      <formula>0.76</formula>
      <formula>0.95</formula>
    </cfRule>
    <cfRule type="cellIs" dxfId="413" priority="22" operator="between">
      <formula>0.51</formula>
      <formula>0.75</formula>
    </cfRule>
    <cfRule type="cellIs" dxfId="412" priority="23" operator="greaterThan">
      <formula>1</formula>
    </cfRule>
    <cfRule type="cellIs" dxfId="411" priority="24" operator="between">
      <formula>0.95</formula>
      <formula>1</formula>
    </cfRule>
    <cfRule type="cellIs" dxfId="410" priority="25" stopIfTrue="1" operator="between">
      <formula>0</formula>
      <formula>0.5</formula>
    </cfRule>
  </conditionalFormatting>
  <conditionalFormatting sqref="U8">
    <cfRule type="cellIs" dxfId="409" priority="16" operator="between">
      <formula>0.76</formula>
      <formula>0.95</formula>
    </cfRule>
    <cfRule type="cellIs" dxfId="408" priority="17" operator="between">
      <formula>0.51</formula>
      <formula>0.75</formula>
    </cfRule>
    <cfRule type="cellIs" dxfId="407" priority="18" operator="greaterThan">
      <formula>1</formula>
    </cfRule>
    <cfRule type="cellIs" dxfId="406" priority="19" operator="between">
      <formula>0.95</formula>
      <formula>1</formula>
    </cfRule>
    <cfRule type="cellIs" dxfId="405" priority="20" stopIfTrue="1" operator="between">
      <formula>0</formula>
      <formula>0.5</formula>
    </cfRule>
  </conditionalFormatting>
  <conditionalFormatting sqref="U9">
    <cfRule type="cellIs" dxfId="404" priority="11" operator="between">
      <formula>0.76</formula>
      <formula>0.95</formula>
    </cfRule>
    <cfRule type="cellIs" dxfId="403" priority="12" operator="between">
      <formula>0.51</formula>
      <formula>0.75</formula>
    </cfRule>
    <cfRule type="cellIs" dxfId="402" priority="13" operator="greaterThan">
      <formula>1</formula>
    </cfRule>
    <cfRule type="cellIs" dxfId="401" priority="14" operator="between">
      <formula>0.95</formula>
      <formula>1</formula>
    </cfRule>
    <cfRule type="cellIs" dxfId="400" priority="15" stopIfTrue="1" operator="between">
      <formula>0</formula>
      <formula>0.5</formula>
    </cfRule>
  </conditionalFormatting>
  <conditionalFormatting sqref="U10">
    <cfRule type="cellIs" dxfId="399" priority="6" operator="between">
      <formula>0.76</formula>
      <formula>0.95</formula>
    </cfRule>
    <cfRule type="cellIs" dxfId="398" priority="7" operator="between">
      <formula>0.51</formula>
      <formula>0.75</formula>
    </cfRule>
    <cfRule type="cellIs" dxfId="397" priority="8" operator="greaterThan">
      <formula>1</formula>
    </cfRule>
    <cfRule type="cellIs" dxfId="396" priority="9" operator="between">
      <formula>0.95</formula>
      <formula>1</formula>
    </cfRule>
    <cfRule type="cellIs" dxfId="395" priority="10" stopIfTrue="1" operator="between">
      <formula>0</formula>
      <formula>0.5</formula>
    </cfRule>
  </conditionalFormatting>
  <conditionalFormatting sqref="U11">
    <cfRule type="cellIs" dxfId="394" priority="1" operator="between">
      <formula>0.76</formula>
      <formula>0.95</formula>
    </cfRule>
    <cfRule type="cellIs" dxfId="393" priority="2" operator="between">
      <formula>0.51</formula>
      <formula>0.75</formula>
    </cfRule>
    <cfRule type="cellIs" dxfId="392" priority="3" operator="greaterThan">
      <formula>1</formula>
    </cfRule>
    <cfRule type="cellIs" dxfId="391" priority="4" operator="between">
      <formula>0.95</formula>
      <formula>1</formula>
    </cfRule>
    <cfRule type="cellIs" dxfId="390" priority="5" stopIfTrue="1" operator="between">
      <formula>0</formula>
      <formula>0.5</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H8" sqref="H8"/>
    </sheetView>
  </sheetViews>
  <sheetFormatPr baseColWidth="10" defaultRowHeight="15" x14ac:dyDescent="0.25"/>
  <cols>
    <col min="1" max="1" width="13.140625" customWidth="1"/>
    <col min="2" max="2" width="17.85546875" hidden="1" customWidth="1"/>
    <col min="3" max="5" width="0" hidden="1" customWidth="1"/>
    <col min="6" max="6" width="14.28515625" customWidth="1"/>
    <col min="7" max="7" width="14.140625" customWidth="1"/>
    <col min="8" max="10" width="15.7109375" customWidth="1"/>
  </cols>
  <sheetData>
    <row r="1" spans="1:12" ht="15" customHeight="1" x14ac:dyDescent="0.25">
      <c r="A1" s="743"/>
      <c r="B1" s="744"/>
      <c r="C1" s="744"/>
      <c r="D1" s="744"/>
      <c r="E1" s="744"/>
      <c r="F1" s="745"/>
      <c r="G1" s="482" t="s">
        <v>966</v>
      </c>
      <c r="H1" s="912" t="s">
        <v>967</v>
      </c>
      <c r="I1" s="912"/>
      <c r="J1" s="912"/>
      <c r="K1" s="913"/>
      <c r="L1" s="914"/>
    </row>
    <row r="2" spans="1:12" ht="25.5" customHeight="1" x14ac:dyDescent="0.25">
      <c r="A2" s="746"/>
      <c r="B2" s="747"/>
      <c r="C2" s="747"/>
      <c r="D2" s="747"/>
      <c r="E2" s="747"/>
      <c r="F2" s="748"/>
      <c r="G2" s="483" t="s">
        <v>968</v>
      </c>
      <c r="H2" s="919" t="s">
        <v>975</v>
      </c>
      <c r="I2" s="919"/>
      <c r="J2" s="919"/>
      <c r="K2" s="915"/>
      <c r="L2" s="916"/>
    </row>
    <row r="3" spans="1:12" ht="16.5" customHeight="1" thickBot="1" x14ac:dyDescent="0.3">
      <c r="A3" s="749"/>
      <c r="B3" s="750"/>
      <c r="C3" s="750"/>
      <c r="D3" s="750"/>
      <c r="E3" s="750"/>
      <c r="F3" s="751"/>
      <c r="G3" s="484" t="s">
        <v>857</v>
      </c>
      <c r="H3" s="485" t="s">
        <v>972</v>
      </c>
      <c r="I3" s="485" t="s">
        <v>971</v>
      </c>
      <c r="J3" s="485">
        <v>1</v>
      </c>
      <c r="K3" s="917"/>
      <c r="L3" s="918"/>
    </row>
    <row r="5" spans="1:12" ht="38.25" x14ac:dyDescent="0.25">
      <c r="A5" s="266" t="s">
        <v>854</v>
      </c>
      <c r="B5" s="267"/>
      <c r="C5" s="267"/>
      <c r="D5" s="267"/>
      <c r="E5" s="267"/>
      <c r="F5" s="266" t="s">
        <v>871</v>
      </c>
      <c r="G5" s="173"/>
      <c r="H5" s="173"/>
      <c r="I5" s="173"/>
      <c r="J5" s="173"/>
      <c r="K5" s="173"/>
    </row>
    <row r="6" spans="1:12" x14ac:dyDescent="0.25">
      <c r="A6" s="267">
        <v>1</v>
      </c>
      <c r="B6" s="268">
        <v>19.177318415053659</v>
      </c>
      <c r="C6" s="269">
        <v>19.177318415053659</v>
      </c>
      <c r="D6" s="267">
        <v>40</v>
      </c>
      <c r="E6" s="267">
        <v>40</v>
      </c>
      <c r="F6" s="267">
        <v>0.47943296037634148</v>
      </c>
      <c r="G6" s="173"/>
      <c r="H6" s="173"/>
      <c r="I6" s="173"/>
      <c r="J6" s="173"/>
      <c r="K6" s="173"/>
    </row>
    <row r="7" spans="1:12" x14ac:dyDescent="0.25">
      <c r="A7" s="267">
        <v>2</v>
      </c>
      <c r="B7" s="268">
        <v>20.164260306985611</v>
      </c>
      <c r="C7" s="270">
        <v>0.98694189193195214</v>
      </c>
      <c r="D7" s="267">
        <v>41</v>
      </c>
      <c r="E7" s="267">
        <v>1</v>
      </c>
      <c r="F7" s="267">
        <v>0.98694189193195214</v>
      </c>
      <c r="G7" s="173"/>
      <c r="H7" s="173"/>
      <c r="I7" s="173"/>
      <c r="J7" s="173"/>
      <c r="K7" s="173"/>
    </row>
    <row r="8" spans="1:12" x14ac:dyDescent="0.25">
      <c r="A8" s="267">
        <v>4</v>
      </c>
      <c r="B8" s="268">
        <v>25.449598148944077</v>
      </c>
      <c r="C8" s="270">
        <v>5.2853378419584658</v>
      </c>
      <c r="D8" s="267">
        <v>51</v>
      </c>
      <c r="E8" s="267">
        <v>10</v>
      </c>
      <c r="F8" s="267">
        <v>0.52853378419584662</v>
      </c>
      <c r="G8" s="173"/>
      <c r="H8" s="173"/>
      <c r="I8" s="173"/>
      <c r="J8" s="173"/>
      <c r="K8" s="173"/>
    </row>
    <row r="9" spans="1:12" x14ac:dyDescent="0.25">
      <c r="A9" s="267">
        <v>5</v>
      </c>
      <c r="B9" s="268">
        <v>38.707473829546188</v>
      </c>
      <c r="C9" s="270">
        <v>13.257875680602112</v>
      </c>
      <c r="D9" s="267">
        <v>78</v>
      </c>
      <c r="E9" s="267">
        <v>27</v>
      </c>
      <c r="F9" s="267">
        <v>0.49103243261489304</v>
      </c>
      <c r="G9" s="173"/>
      <c r="H9" s="173"/>
      <c r="I9" s="173"/>
      <c r="J9" s="173"/>
      <c r="K9" s="173"/>
    </row>
    <row r="10" spans="1:12" x14ac:dyDescent="0.25">
      <c r="A10" s="267">
        <v>6</v>
      </c>
      <c r="B10" s="268">
        <v>39.882448551043126</v>
      </c>
      <c r="C10" s="270">
        <v>1.1749747214969375</v>
      </c>
      <c r="D10" s="267">
        <v>81</v>
      </c>
      <c r="E10" s="267">
        <v>3</v>
      </c>
      <c r="F10" s="267">
        <v>0.39165824049897918</v>
      </c>
      <c r="G10" s="173"/>
      <c r="H10" s="173"/>
      <c r="I10" s="173"/>
      <c r="J10" s="173"/>
      <c r="K10" s="173"/>
    </row>
    <row r="11" spans="1:12" x14ac:dyDescent="0.25">
      <c r="A11" s="267">
        <v>7</v>
      </c>
      <c r="B11" s="268">
        <v>52.420649613242077</v>
      </c>
      <c r="C11" s="270">
        <v>12.538201062198951</v>
      </c>
      <c r="D11" s="267">
        <v>106</v>
      </c>
      <c r="E11" s="267">
        <v>25</v>
      </c>
      <c r="F11" s="267">
        <v>0.50152804248795801</v>
      </c>
      <c r="G11" s="173"/>
      <c r="H11" s="173"/>
      <c r="I11" s="173"/>
      <c r="J11" s="173"/>
      <c r="K11" s="173"/>
    </row>
    <row r="12" spans="1:12" x14ac:dyDescent="0.25">
      <c r="A12" s="267">
        <v>8</v>
      </c>
      <c r="B12" s="268">
        <v>53.339276905176533</v>
      </c>
      <c r="C12" s="270">
        <v>0.91862729193445603</v>
      </c>
      <c r="D12" s="267">
        <v>107</v>
      </c>
      <c r="E12" s="267">
        <v>1</v>
      </c>
      <c r="F12" s="267">
        <v>0.91862729193445603</v>
      </c>
      <c r="G12" s="173"/>
      <c r="H12" s="173"/>
      <c r="I12" s="173"/>
      <c r="J12" s="173"/>
      <c r="K12" s="173"/>
    </row>
    <row r="13" spans="1:12" x14ac:dyDescent="0.25">
      <c r="A13" s="267">
        <v>9</v>
      </c>
      <c r="B13" s="268">
        <v>53.458774001719021</v>
      </c>
      <c r="C13" s="270">
        <v>0.11949709654248863</v>
      </c>
      <c r="D13" s="267">
        <v>108</v>
      </c>
      <c r="E13" s="267">
        <v>1</v>
      </c>
      <c r="F13" s="267">
        <v>0.11949709654248863</v>
      </c>
      <c r="G13" s="173"/>
      <c r="H13" s="173"/>
      <c r="I13" s="173"/>
      <c r="J13" s="173"/>
      <c r="K13" s="173"/>
    </row>
    <row r="14" spans="1:12" x14ac:dyDescent="0.25">
      <c r="A14" s="267">
        <v>10</v>
      </c>
      <c r="B14" s="268">
        <v>58.314478170991705</v>
      </c>
      <c r="C14" s="270">
        <v>4.8557041692726841</v>
      </c>
      <c r="D14" s="267">
        <v>119</v>
      </c>
      <c r="E14" s="267">
        <v>11</v>
      </c>
      <c r="F14" s="267">
        <v>0.44142765175206217</v>
      </c>
      <c r="G14" s="173"/>
      <c r="H14" s="173"/>
      <c r="I14" s="173"/>
      <c r="J14" s="173"/>
      <c r="K14" s="173"/>
    </row>
    <row r="15" spans="1:12" x14ac:dyDescent="0.25">
      <c r="A15" s="267">
        <v>11</v>
      </c>
      <c r="B15" s="268">
        <v>59.591919931324512</v>
      </c>
      <c r="C15" s="270">
        <v>1.2774417603328061</v>
      </c>
      <c r="D15" s="267">
        <v>121</v>
      </c>
      <c r="E15" s="267">
        <v>2</v>
      </c>
      <c r="F15" s="267">
        <v>0.63872088016640305</v>
      </c>
      <c r="G15" s="173"/>
      <c r="H15" s="173"/>
      <c r="I15" s="173"/>
      <c r="J15" s="173"/>
      <c r="K15" s="173"/>
    </row>
    <row r="16" spans="1:12" x14ac:dyDescent="0.25">
      <c r="A16" s="267">
        <v>12</v>
      </c>
      <c r="B16" s="268">
        <v>60.287980509007838</v>
      </c>
      <c r="C16" s="270">
        <v>0.69606057768332619</v>
      </c>
      <c r="D16" s="267">
        <v>122</v>
      </c>
      <c r="E16" s="267">
        <v>1</v>
      </c>
      <c r="F16" s="267">
        <v>0.69606057768332619</v>
      </c>
      <c r="G16" s="173"/>
      <c r="H16" s="173"/>
      <c r="I16" s="173"/>
      <c r="J16" s="173"/>
      <c r="K16" s="173"/>
    </row>
    <row r="17" spans="1:11" x14ac:dyDescent="0.25">
      <c r="A17" s="267">
        <v>31</v>
      </c>
      <c r="B17" s="268">
        <v>63.909198218387736</v>
      </c>
      <c r="C17" s="270">
        <v>3.6212177093798985</v>
      </c>
      <c r="D17" s="267">
        <v>129</v>
      </c>
      <c r="E17" s="267">
        <v>7</v>
      </c>
      <c r="F17" s="267">
        <v>0.51731681562569976</v>
      </c>
      <c r="G17" s="173"/>
      <c r="H17" s="173"/>
      <c r="I17" s="173"/>
      <c r="J17" s="173"/>
      <c r="K17" s="173"/>
    </row>
    <row r="18" spans="1:11" x14ac:dyDescent="0.25">
      <c r="A18" s="267">
        <v>32</v>
      </c>
      <c r="B18" s="268">
        <v>69.237478738634053</v>
      </c>
      <c r="C18" s="270">
        <v>5.3282805202463166</v>
      </c>
      <c r="D18" s="267">
        <v>143</v>
      </c>
      <c r="E18" s="267">
        <v>14</v>
      </c>
      <c r="F18" s="267">
        <v>0.38059146573187974</v>
      </c>
      <c r="G18" s="173"/>
      <c r="H18" s="173"/>
      <c r="I18" s="173"/>
      <c r="J18" s="173"/>
      <c r="K18" s="173"/>
    </row>
    <row r="19" spans="1:11" x14ac:dyDescent="0.25">
      <c r="A19" s="173"/>
      <c r="B19" s="173"/>
      <c r="C19" s="173"/>
      <c r="D19" s="173"/>
      <c r="E19" s="173"/>
      <c r="F19" s="173"/>
      <c r="G19" s="173"/>
      <c r="H19" s="173"/>
      <c r="I19" s="173"/>
      <c r="J19" s="173"/>
      <c r="K19" s="173"/>
    </row>
    <row r="20" spans="1:11" x14ac:dyDescent="0.25">
      <c r="A20" s="176" t="s">
        <v>855</v>
      </c>
      <c r="B20" s="173"/>
      <c r="C20" s="173"/>
      <c r="D20" s="173"/>
      <c r="E20" s="173"/>
      <c r="F20" s="173"/>
      <c r="G20" s="173"/>
      <c r="H20" s="173"/>
      <c r="I20" s="173"/>
      <c r="J20" s="173"/>
      <c r="K20" s="173"/>
    </row>
    <row r="21" spans="1:11" ht="15.75" thickBot="1" x14ac:dyDescent="0.3">
      <c r="A21" s="265"/>
      <c r="B21" s="265"/>
      <c r="C21" s="265"/>
      <c r="D21" s="265"/>
      <c r="E21" s="265"/>
      <c r="F21" s="265"/>
      <c r="G21" s="265"/>
      <c r="H21" s="265"/>
      <c r="I21" s="265"/>
      <c r="J21" s="265"/>
      <c r="K21" s="265"/>
    </row>
    <row r="22" spans="1:11" ht="15.75" thickBot="1" x14ac:dyDescent="0.3">
      <c r="A22" s="924" t="s">
        <v>856</v>
      </c>
      <c r="B22" s="925"/>
      <c r="C22" s="925"/>
      <c r="D22" s="925"/>
      <c r="E22" s="925"/>
      <c r="F22" s="925"/>
      <c r="G22" s="925"/>
      <c r="H22" s="925"/>
      <c r="I22" s="925"/>
      <c r="J22" s="926"/>
      <c r="K22" s="274" t="s">
        <v>857</v>
      </c>
    </row>
    <row r="23" spans="1:11" x14ac:dyDescent="0.25">
      <c r="A23" s="927" t="s">
        <v>858</v>
      </c>
      <c r="B23" s="928"/>
      <c r="C23" s="928"/>
      <c r="D23" s="928"/>
      <c r="E23" s="928"/>
      <c r="F23" s="928"/>
      <c r="G23" s="928"/>
      <c r="H23" s="928"/>
      <c r="I23" s="928"/>
      <c r="J23" s="928"/>
      <c r="K23" s="271">
        <v>1</v>
      </c>
    </row>
    <row r="24" spans="1:11" x14ac:dyDescent="0.25">
      <c r="A24" s="920" t="s">
        <v>859</v>
      </c>
      <c r="B24" s="921"/>
      <c r="C24" s="921"/>
      <c r="D24" s="921"/>
      <c r="E24" s="921"/>
      <c r="F24" s="921"/>
      <c r="G24" s="921"/>
      <c r="H24" s="921"/>
      <c r="I24" s="921"/>
      <c r="J24" s="921"/>
      <c r="K24" s="272">
        <v>2</v>
      </c>
    </row>
    <row r="25" spans="1:11" x14ac:dyDescent="0.25">
      <c r="A25" s="920" t="s">
        <v>860</v>
      </c>
      <c r="B25" s="921"/>
      <c r="C25" s="921"/>
      <c r="D25" s="921"/>
      <c r="E25" s="921"/>
      <c r="F25" s="921"/>
      <c r="G25" s="921"/>
      <c r="H25" s="921"/>
      <c r="I25" s="921"/>
      <c r="J25" s="921"/>
      <c r="K25" s="272">
        <v>31</v>
      </c>
    </row>
    <row r="26" spans="1:11" x14ac:dyDescent="0.25">
      <c r="A26" s="920" t="s">
        <v>861</v>
      </c>
      <c r="B26" s="921"/>
      <c r="C26" s="921">
        <v>32</v>
      </c>
      <c r="D26" s="921"/>
      <c r="E26" s="921"/>
      <c r="F26" s="921"/>
      <c r="G26" s="921"/>
      <c r="H26" s="921"/>
      <c r="I26" s="921"/>
      <c r="J26" s="921"/>
      <c r="K26" s="272">
        <v>32</v>
      </c>
    </row>
    <row r="27" spans="1:11" x14ac:dyDescent="0.25">
      <c r="A27" s="920" t="s">
        <v>862</v>
      </c>
      <c r="B27" s="921"/>
      <c r="C27" s="921">
        <v>4</v>
      </c>
      <c r="D27" s="921"/>
      <c r="E27" s="921"/>
      <c r="F27" s="921"/>
      <c r="G27" s="921"/>
      <c r="H27" s="921"/>
      <c r="I27" s="921"/>
      <c r="J27" s="921"/>
      <c r="K27" s="272">
        <v>4</v>
      </c>
    </row>
    <row r="28" spans="1:11" x14ac:dyDescent="0.25">
      <c r="A28" s="920" t="s">
        <v>863</v>
      </c>
      <c r="B28" s="921"/>
      <c r="C28" s="921">
        <v>5</v>
      </c>
      <c r="D28" s="921"/>
      <c r="E28" s="921"/>
      <c r="F28" s="921"/>
      <c r="G28" s="921"/>
      <c r="H28" s="921"/>
      <c r="I28" s="921"/>
      <c r="J28" s="921"/>
      <c r="K28" s="272">
        <v>5</v>
      </c>
    </row>
    <row r="29" spans="1:11" x14ac:dyDescent="0.25">
      <c r="A29" s="920" t="s">
        <v>864</v>
      </c>
      <c r="B29" s="921"/>
      <c r="C29" s="921">
        <v>6</v>
      </c>
      <c r="D29" s="921"/>
      <c r="E29" s="921"/>
      <c r="F29" s="921"/>
      <c r="G29" s="921"/>
      <c r="H29" s="921"/>
      <c r="I29" s="921"/>
      <c r="J29" s="921"/>
      <c r="K29" s="272">
        <v>6</v>
      </c>
    </row>
    <row r="30" spans="1:11" x14ac:dyDescent="0.25">
      <c r="A30" s="920" t="s">
        <v>865</v>
      </c>
      <c r="B30" s="921"/>
      <c r="C30" s="921">
        <v>7</v>
      </c>
      <c r="D30" s="921"/>
      <c r="E30" s="921"/>
      <c r="F30" s="921"/>
      <c r="G30" s="921"/>
      <c r="H30" s="921"/>
      <c r="I30" s="921"/>
      <c r="J30" s="921"/>
      <c r="K30" s="272">
        <v>7</v>
      </c>
    </row>
    <row r="31" spans="1:11" x14ac:dyDescent="0.25">
      <c r="A31" s="920" t="s">
        <v>866</v>
      </c>
      <c r="B31" s="921"/>
      <c r="C31" s="921">
        <v>8</v>
      </c>
      <c r="D31" s="921"/>
      <c r="E31" s="921"/>
      <c r="F31" s="921"/>
      <c r="G31" s="921"/>
      <c r="H31" s="921"/>
      <c r="I31" s="921"/>
      <c r="J31" s="921"/>
      <c r="K31" s="272">
        <v>8</v>
      </c>
    </row>
    <row r="32" spans="1:11" x14ac:dyDescent="0.25">
      <c r="A32" s="920" t="s">
        <v>867</v>
      </c>
      <c r="B32" s="921"/>
      <c r="C32" s="921">
        <v>9</v>
      </c>
      <c r="D32" s="921"/>
      <c r="E32" s="921"/>
      <c r="F32" s="921"/>
      <c r="G32" s="921"/>
      <c r="H32" s="921"/>
      <c r="I32" s="921"/>
      <c r="J32" s="921"/>
      <c r="K32" s="272">
        <v>9</v>
      </c>
    </row>
    <row r="33" spans="1:11" x14ac:dyDescent="0.25">
      <c r="A33" s="920" t="s">
        <v>868</v>
      </c>
      <c r="B33" s="921"/>
      <c r="C33" s="921">
        <v>10</v>
      </c>
      <c r="D33" s="921"/>
      <c r="E33" s="921"/>
      <c r="F33" s="921"/>
      <c r="G33" s="921"/>
      <c r="H33" s="921"/>
      <c r="I33" s="921"/>
      <c r="J33" s="921"/>
      <c r="K33" s="272">
        <v>10</v>
      </c>
    </row>
    <row r="34" spans="1:11" x14ac:dyDescent="0.25">
      <c r="A34" s="920" t="s">
        <v>869</v>
      </c>
      <c r="B34" s="921"/>
      <c r="C34" s="921">
        <v>11</v>
      </c>
      <c r="D34" s="921"/>
      <c r="E34" s="921"/>
      <c r="F34" s="921"/>
      <c r="G34" s="921"/>
      <c r="H34" s="921"/>
      <c r="I34" s="921"/>
      <c r="J34" s="921"/>
      <c r="K34" s="272">
        <v>11</v>
      </c>
    </row>
    <row r="35" spans="1:11" ht="15.75" thickBot="1" x14ac:dyDescent="0.3">
      <c r="A35" s="922" t="s">
        <v>870</v>
      </c>
      <c r="B35" s="923"/>
      <c r="C35" s="923">
        <v>12</v>
      </c>
      <c r="D35" s="923"/>
      <c r="E35" s="923"/>
      <c r="F35" s="923"/>
      <c r="G35" s="923"/>
      <c r="H35" s="923"/>
      <c r="I35" s="923"/>
      <c r="J35" s="923"/>
      <c r="K35" s="273">
        <v>12</v>
      </c>
    </row>
    <row r="36" spans="1:11" x14ac:dyDescent="0.25">
      <c r="A36" s="173"/>
      <c r="B36" s="173"/>
      <c r="C36" s="173"/>
      <c r="D36" s="173"/>
      <c r="E36" s="173"/>
      <c r="F36" s="173"/>
      <c r="G36" s="173"/>
      <c r="H36" s="173"/>
      <c r="I36" s="173"/>
      <c r="J36" s="173"/>
      <c r="K36" s="173"/>
    </row>
  </sheetData>
  <mergeCells count="18">
    <mergeCell ref="A35:J35"/>
    <mergeCell ref="A22:J22"/>
    <mergeCell ref="A23:J23"/>
    <mergeCell ref="A24:J24"/>
    <mergeCell ref="A25:J25"/>
    <mergeCell ref="A26:J26"/>
    <mergeCell ref="A27:J27"/>
    <mergeCell ref="A28:J28"/>
    <mergeCell ref="A29:J29"/>
    <mergeCell ref="A30:J30"/>
    <mergeCell ref="A32:J32"/>
    <mergeCell ref="A31:J31"/>
    <mergeCell ref="A33:J33"/>
    <mergeCell ref="A1:F3"/>
    <mergeCell ref="H1:J1"/>
    <mergeCell ref="K1:L3"/>
    <mergeCell ref="H2:J2"/>
    <mergeCell ref="A34:J3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showGridLines="0" zoomScale="80" zoomScaleNormal="80" workbookViewId="0">
      <selection sqref="A1:A3"/>
    </sheetView>
  </sheetViews>
  <sheetFormatPr baseColWidth="10" defaultRowHeight="15" x14ac:dyDescent="0.25"/>
  <cols>
    <col min="1" max="1" width="49" customWidth="1"/>
    <col min="2" max="2" width="2.28515625" customWidth="1"/>
    <col min="3" max="3" width="21.7109375" customWidth="1"/>
    <col min="4" max="4" width="3.28515625" customWidth="1"/>
    <col min="5" max="5" width="21.7109375" customWidth="1"/>
    <col min="6" max="6" width="3.28515625" customWidth="1"/>
    <col min="7" max="7" width="2.7109375" customWidth="1"/>
    <col min="8" max="8" width="21.7109375" customWidth="1"/>
    <col min="9" max="9" width="3.28515625" customWidth="1"/>
    <col min="10" max="10" width="21.7109375" customWidth="1"/>
    <col min="11" max="11" width="3.28515625" customWidth="1"/>
    <col min="12" max="12" width="3.140625" customWidth="1"/>
    <col min="13" max="13" width="21.7109375" customWidth="1"/>
    <col min="14" max="14" width="3.28515625" customWidth="1"/>
    <col min="15" max="15" width="21.7109375" customWidth="1"/>
    <col min="16" max="16" width="3.28515625" customWidth="1"/>
    <col min="17" max="17" width="2.85546875" customWidth="1"/>
    <col min="18" max="18" width="21.7109375" customWidth="1"/>
    <col min="19" max="19" width="3.28515625" customWidth="1"/>
    <col min="20" max="20" width="21.7109375" customWidth="1"/>
    <col min="21" max="21" width="3.28515625" customWidth="1"/>
  </cols>
  <sheetData>
    <row r="1" spans="1:21" ht="15" customHeight="1" x14ac:dyDescent="0.25">
      <c r="A1" s="893"/>
      <c r="B1" s="896" t="s">
        <v>966</v>
      </c>
      <c r="C1" s="897"/>
      <c r="D1" s="874"/>
      <c r="E1" s="876" t="s">
        <v>967</v>
      </c>
      <c r="F1" s="897"/>
      <c r="G1" s="897"/>
      <c r="H1" s="897"/>
      <c r="I1" s="897"/>
      <c r="J1" s="897"/>
      <c r="K1" s="897"/>
      <c r="L1" s="897"/>
      <c r="M1" s="897"/>
      <c r="N1" s="897"/>
      <c r="O1" s="897"/>
      <c r="P1" s="897"/>
      <c r="Q1" s="898"/>
      <c r="R1" s="899"/>
      <c r="S1" s="1057"/>
      <c r="T1" s="1057"/>
      <c r="U1" s="900"/>
    </row>
    <row r="2" spans="1:21" ht="15" customHeight="1" x14ac:dyDescent="0.25">
      <c r="A2" s="894"/>
      <c r="B2" s="905" t="s">
        <v>968</v>
      </c>
      <c r="C2" s="906"/>
      <c r="D2" s="885"/>
      <c r="E2" s="886" t="s">
        <v>800</v>
      </c>
      <c r="F2" s="906"/>
      <c r="G2" s="906"/>
      <c r="H2" s="906"/>
      <c r="I2" s="906"/>
      <c r="J2" s="906"/>
      <c r="K2" s="906"/>
      <c r="L2" s="906"/>
      <c r="M2" s="906"/>
      <c r="N2" s="906"/>
      <c r="O2" s="906"/>
      <c r="P2" s="906"/>
      <c r="Q2" s="907"/>
      <c r="R2" s="901"/>
      <c r="S2" s="1056"/>
      <c r="T2" s="1056"/>
      <c r="U2" s="902"/>
    </row>
    <row r="3" spans="1:21" ht="15.75" customHeight="1" thickBot="1" x14ac:dyDescent="0.3">
      <c r="A3" s="895"/>
      <c r="B3" s="908" t="s">
        <v>857</v>
      </c>
      <c r="C3" s="1036"/>
      <c r="D3" s="887"/>
      <c r="E3" s="889" t="s">
        <v>972</v>
      </c>
      <c r="F3" s="887"/>
      <c r="G3" s="909" t="s">
        <v>828</v>
      </c>
      <c r="H3" s="910"/>
      <c r="I3" s="910"/>
      <c r="J3" s="910"/>
      <c r="K3" s="910"/>
      <c r="L3" s="910"/>
      <c r="M3" s="910"/>
      <c r="N3" s="911"/>
      <c r="O3" s="480" t="s">
        <v>971</v>
      </c>
      <c r="P3" s="889">
        <v>1</v>
      </c>
      <c r="Q3" s="1073"/>
      <c r="R3" s="903"/>
      <c r="S3" s="1058"/>
      <c r="T3" s="1058"/>
      <c r="U3" s="904"/>
    </row>
    <row r="4" spans="1:21" ht="15.75" thickBot="1" x14ac:dyDescent="0.3"/>
    <row r="5" spans="1:21" ht="72.75" customHeight="1" thickBot="1" x14ac:dyDescent="0.3">
      <c r="A5" s="289" t="s">
        <v>837</v>
      </c>
      <c r="B5" s="469"/>
      <c r="C5" s="1017" t="s">
        <v>876</v>
      </c>
      <c r="D5" s="1018"/>
      <c r="E5" s="1017" t="s">
        <v>818</v>
      </c>
      <c r="F5" s="1018"/>
      <c r="G5" s="177"/>
      <c r="H5" s="1017" t="s">
        <v>877</v>
      </c>
      <c r="I5" s="1039"/>
      <c r="J5" s="1040" t="s">
        <v>819</v>
      </c>
      <c r="K5" s="1041"/>
      <c r="L5" s="1078"/>
      <c r="M5" s="1017" t="s">
        <v>878</v>
      </c>
      <c r="N5" s="1039"/>
      <c r="O5" s="1040" t="s">
        <v>820</v>
      </c>
      <c r="P5" s="1041"/>
      <c r="Q5" s="1078"/>
      <c r="R5" s="1017" t="s">
        <v>879</v>
      </c>
      <c r="S5" s="1039"/>
      <c r="T5" s="1040" t="s">
        <v>821</v>
      </c>
      <c r="U5" s="1041"/>
    </row>
    <row r="6" spans="1:21" ht="18.75" thickBot="1" x14ac:dyDescent="0.3">
      <c r="A6" s="298" t="s">
        <v>3</v>
      </c>
      <c r="B6" s="470"/>
      <c r="C6" s="1051">
        <f>SUM('Cuadro Mando Integral Detallado'!I34,'Cuadro Mando Integral Detallado'!I112:I113,'Cuadro Mando Integral Detallado'!I162)/COUNT('Cuadro Mando Integral Detallado'!I34,'Cuadro Mando Integral Detallado'!I112:I113,'Cuadro Mando Integral Detallado'!I162)</f>
        <v>1.4922779922779923</v>
      </c>
      <c r="D6" s="1053">
        <f>+C6</f>
        <v>1.4922779922779923</v>
      </c>
      <c r="E6" s="465">
        <f>SUM('Cuadro Mando Integral Detallado'!J34,'Cuadro Mando Integral Detallado'!J112:J113,'Cuadro Mando Integral Detallado'!J162)/COUNT('Cuadro Mando Integral Detallado'!J34,'Cuadro Mando Integral Detallado'!J112:J113,'Cuadro Mando Integral Detallado'!J162)</f>
        <v>0.40065958815958813</v>
      </c>
      <c r="F6" s="466">
        <f>+E6</f>
        <v>0.40065958815958813</v>
      </c>
      <c r="G6" s="177"/>
      <c r="H6" s="1072">
        <f>SUM('Cuadro Mando Integral Detallado'!M34,'Cuadro Mando Integral Detallado'!M112:M113,'Cuadro Mando Integral Detallado'!M162)/COUNT('Cuadro Mando Integral Detallado'!M34,'Cuadro Mando Integral Detallado'!M112:M113,'Cuadro Mando Integral Detallado'!M162)</f>
        <v>0</v>
      </c>
      <c r="I6" s="1072">
        <f>+H6</f>
        <v>0</v>
      </c>
      <c r="J6" s="465">
        <f>SUM('Cuadro Mando Integral Detallado'!N34,'Cuadro Mando Integral Detallado'!N112:N113,'Cuadro Mando Integral Detallado'!N162)/COUNT('Cuadro Mando Integral Detallado'!N34,'Cuadro Mando Integral Detallado'!N112:N113,'Cuadro Mando Integral Detallado'!N162)</f>
        <v>0.40065958815958813</v>
      </c>
      <c r="K6" s="1059">
        <f>+J6</f>
        <v>0.40065958815958813</v>
      </c>
      <c r="L6" s="1046"/>
      <c r="M6" s="1072">
        <f>SUM('Cuadro Mando Integral Detallado'!Q34,'Cuadro Mando Integral Detallado'!Q112:Q113,'Cuadro Mando Integral Detallado'!Q162)/COUNT('Cuadro Mando Integral Detallado'!Q34,'Cuadro Mando Integral Detallado'!Q112:Q113,'Cuadro Mando Integral Detallado'!Q162)</f>
        <v>0</v>
      </c>
      <c r="N6" s="1072">
        <f>+M6</f>
        <v>0</v>
      </c>
      <c r="O6" s="292">
        <f>SUM('Cuadro Mando Integral Detallado'!R34,'Cuadro Mando Integral Detallado'!R112:R113,'Cuadro Mando Integral Detallado'!R162)/COUNT('Cuadro Mando Integral Detallado'!R34,'Cuadro Mando Integral Detallado'!R112:R113,'Cuadro Mando Integral Detallado'!R162)</f>
        <v>0.40065958815958813</v>
      </c>
      <c r="P6" s="1021">
        <f>+O6</f>
        <v>0.40065958815958813</v>
      </c>
      <c r="Q6" s="1046"/>
      <c r="R6" s="1072">
        <f>SUM('Cuadro Mando Integral Detallado'!U34,'Cuadro Mando Integral Detallado'!U112:U113,'Cuadro Mando Integral Detallado'!U162)/COUNT('Cuadro Mando Integral Detallado'!U34,'Cuadro Mando Integral Detallado'!U112:U113,'Cuadro Mando Integral Detallado'!U162)</f>
        <v>0</v>
      </c>
      <c r="S6" s="1072">
        <f>+R6</f>
        <v>0</v>
      </c>
      <c r="T6" s="292">
        <f>SUM('Cuadro Mando Integral Detallado'!V34,'Cuadro Mando Integral Detallado'!V112:V113,'Cuadro Mando Integral Detallado'!V162)/COUNT('Cuadro Mando Integral Detallado'!V34,'Cuadro Mando Integral Detallado'!V112:V113,'Cuadro Mando Integral Detallado'!V162)</f>
        <v>0.40065958815958813</v>
      </c>
      <c r="U6" s="1021">
        <f>+T6</f>
        <v>0.40065958815958813</v>
      </c>
    </row>
    <row r="7" spans="1:21" ht="36.75" thickBot="1" x14ac:dyDescent="0.3">
      <c r="A7" s="293" t="s">
        <v>834</v>
      </c>
      <c r="B7" s="470"/>
      <c r="C7" s="1050">
        <f>SUM('Cuadro Mando Integral Detallado'!I37:I63,'Cuadro Mando Integral Detallado'!I141:I148,'Cuadro Mando Integral Detallado'!I163,'Cuadro Mando Integral Detallado'!I173:I174)/COUNT('Cuadro Mando Integral Detallado'!I37:I63,'Cuadro Mando Integral Detallado'!I141:I148,'Cuadro Mando Integral Detallado'!I163,'Cuadro Mando Integral Detallado'!I173:I174)</f>
        <v>1.0468874307771985</v>
      </c>
      <c r="D7" s="1054">
        <f>+C7</f>
        <v>1.0468874307771985</v>
      </c>
      <c r="E7" s="294">
        <f>SUM('Cuadro Mando Integral Detallado'!J37:J63,'Cuadro Mando Integral Detallado'!J141:J148,'Cuadro Mando Integral Detallado'!J163,'Cuadro Mando Integral Detallado'!J173:J174)/COUNT('Cuadro Mando Integral Detallado'!J37:J63,'Cuadro Mando Integral Detallado'!J141:J148,'Cuadro Mando Integral Detallado'!J163,'Cuadro Mando Integral Detallado'!J173:J174)</f>
        <v>0.20120739317567513</v>
      </c>
      <c r="F7" s="467">
        <f>+E7</f>
        <v>0.20120739317567513</v>
      </c>
      <c r="G7" s="163"/>
      <c r="H7" s="294">
        <f>SUM('Cuadro Mando Integral Detallado'!M37:M63,'Cuadro Mando Integral Detallado'!M141:M148,'Cuadro Mando Integral Detallado'!M163,'Cuadro Mando Integral Detallado'!M173:M174)/COUNT('Cuadro Mando Integral Detallado'!M37:M63,'Cuadro Mando Integral Detallado'!M141:M148,'Cuadro Mando Integral Detallado'!M163,'Cuadro Mando Integral Detallado'!M173:M174)</f>
        <v>0</v>
      </c>
      <c r="I7" s="294">
        <f>+H7</f>
        <v>0</v>
      </c>
      <c r="J7" s="467">
        <f>SUM('Cuadro Mando Integral Detallado'!N37:N63,'Cuadro Mando Integral Detallado'!N141:N148,'Cuadro Mando Integral Detallado'!N163,'Cuadro Mando Integral Detallado'!N173:N174)/COUNT('Cuadro Mando Integral Detallado'!N37:N63,'Cuadro Mando Integral Detallado'!N141:N148,'Cuadro Mando Integral Detallado'!N163,'Cuadro Mando Integral Detallado'!N173:N174)</f>
        <v>0.20120739317567513</v>
      </c>
      <c r="K7" s="1059">
        <f>+J7</f>
        <v>0.20120739317567513</v>
      </c>
      <c r="L7" s="1046"/>
      <c r="M7" s="294">
        <f>SUM('Cuadro Mando Integral Detallado'!Q37:Q63,'Cuadro Mando Integral Detallado'!Q141:Q148,'Cuadro Mando Integral Detallado'!Q163,'Cuadro Mando Integral Detallado'!Q173:Q174)/COUNT('Cuadro Mando Integral Detallado'!Q37:Q63,'Cuadro Mando Integral Detallado'!Q141:Q148,'Cuadro Mando Integral Detallado'!Q163,'Cuadro Mando Integral Detallado'!Q173:Q174)</f>
        <v>0</v>
      </c>
      <c r="N7" s="294">
        <f>+M7</f>
        <v>0</v>
      </c>
      <c r="O7" s="467">
        <f>SUM('Cuadro Mando Integral Detallado'!R37:R63,'Cuadro Mando Integral Detallado'!R141:R148,'Cuadro Mando Integral Detallado'!R163,'Cuadro Mando Integral Detallado'!R173:R174)/COUNT('Cuadro Mando Integral Detallado'!R37:R63,'Cuadro Mando Integral Detallado'!R141:R148,'Cuadro Mando Integral Detallado'!R163,'Cuadro Mando Integral Detallado'!R173:R174)</f>
        <v>0.20245625318113714</v>
      </c>
      <c r="P7" s="1021">
        <f>+O7</f>
        <v>0.20245625318113714</v>
      </c>
      <c r="Q7" s="1046"/>
      <c r="R7" s="294">
        <f>SUM('Cuadro Mando Integral Detallado'!U37:U63,'Cuadro Mando Integral Detallado'!U141:U148,'Cuadro Mando Integral Detallado'!U163,'Cuadro Mando Integral Detallado'!U173:U174)/COUNT('Cuadro Mando Integral Detallado'!U37:U63,'Cuadro Mando Integral Detallado'!U141:U148,'Cuadro Mando Integral Detallado'!U163,'Cuadro Mando Integral Detallado'!U173:U174)</f>
        <v>0</v>
      </c>
      <c r="S7" s="294">
        <f>+R7</f>
        <v>0</v>
      </c>
      <c r="T7" s="467">
        <f>SUM('Cuadro Mando Integral Detallado'!V37:V63,'Cuadro Mando Integral Detallado'!V141:V148,'Cuadro Mando Integral Detallado'!V163,'Cuadro Mando Integral Detallado'!V173:V174)/COUNT('Cuadro Mando Integral Detallado'!V37:V63,'Cuadro Mando Integral Detallado'!V141:V148,'Cuadro Mando Integral Detallado'!V163,'Cuadro Mando Integral Detallado'!V173:V174)</f>
        <v>0.20120739317567513</v>
      </c>
      <c r="U7" s="1021">
        <f>+T7</f>
        <v>0.20120739317567513</v>
      </c>
    </row>
    <row r="8" spans="1:21" ht="36.75" thickBot="1" x14ac:dyDescent="0.3">
      <c r="A8" s="293" t="s">
        <v>26</v>
      </c>
      <c r="B8" s="470"/>
      <c r="C8" s="1050">
        <f>SUM('Cuadro Mando Integral Detallado'!I96:I100,'Cuadro Mando Integral Detallado'!I118:I132,'Cuadro Mando Integral Detallado'!I164,'Cuadro Mando Integral Detallado'!I175:I176,'Cuadro Mando Integral Detallado'!I196)/COUNT('Cuadro Mando Integral Detallado'!I96:I100,'Cuadro Mando Integral Detallado'!I118:I132,'Cuadro Mando Integral Detallado'!I164,'Cuadro Mando Integral Detallado'!I175:I176,'Cuadro Mando Integral Detallado'!I196)</f>
        <v>0.92205083136151123</v>
      </c>
      <c r="D8" s="1054">
        <f>+C8</f>
        <v>0.92205083136151123</v>
      </c>
      <c r="E8" s="294">
        <f>SUM('Cuadro Mando Integral Detallado'!J96:J100,'Cuadro Mando Integral Detallado'!J118:J132,'Cuadro Mando Integral Detallado'!J164,'Cuadro Mando Integral Detallado'!J175:J176,'Cuadro Mando Integral Detallado'!J196)/COUNT('Cuadro Mando Integral Detallado'!J96:J100,'Cuadro Mando Integral Detallado'!J118:J132,'Cuadro Mando Integral Detallado'!J164,'Cuadro Mando Integral Detallado'!J175:J176,'Cuadro Mando Integral Detallado'!J196)</f>
        <v>0.25399886060960852</v>
      </c>
      <c r="F8" s="467">
        <f>+E8</f>
        <v>0.25399886060960852</v>
      </c>
      <c r="G8" s="163"/>
      <c r="H8" s="294">
        <f>SUM('Cuadro Mando Integral Detallado'!M96:M99,'Cuadro Mando Integral Detallado'!M118:M132,'Cuadro Mando Integral Detallado'!M164,'Cuadro Mando Integral Detallado'!M175:M176,'Cuadro Mando Integral Detallado'!M196)/COUNT('Cuadro Mando Integral Detallado'!M96:M99,'Cuadro Mando Integral Detallado'!M118:M132,'Cuadro Mando Integral Detallado'!M164,'Cuadro Mando Integral Detallado'!M175:M176,'Cuadro Mando Integral Detallado'!M196)</f>
        <v>0</v>
      </c>
      <c r="I8" s="294">
        <f>+H8</f>
        <v>0</v>
      </c>
      <c r="J8" s="467">
        <f>SUM('Cuadro Mando Integral Detallado'!N96:N99,'Cuadro Mando Integral Detallado'!N118:N132,'Cuadro Mando Integral Detallado'!N164,'Cuadro Mando Integral Detallado'!N175:N176,'Cuadro Mando Integral Detallado'!N196)/COUNT('Cuadro Mando Integral Detallado'!N96:N99,'Cuadro Mando Integral Detallado'!N118:N132,'Cuadro Mando Integral Detallado'!N164,'Cuadro Mando Integral Detallado'!N175:N176,'Cuadro Mando Integral Detallado'!N196)</f>
        <v>0.24640874895909459</v>
      </c>
      <c r="K8" s="1059">
        <f>+J8</f>
        <v>0.24640874895909459</v>
      </c>
      <c r="L8" s="1046"/>
      <c r="M8" s="294">
        <f>SUM('Cuadro Mando Integral Detallado'!Q96:Q99,'Cuadro Mando Integral Detallado'!Q118:Q132,'Cuadro Mando Integral Detallado'!Q164,'Cuadro Mando Integral Detallado'!Q175:Q176,'Cuadro Mando Integral Detallado'!Q196)/COUNT('Cuadro Mando Integral Detallado'!Q96:Q99,'Cuadro Mando Integral Detallado'!Q118:Q132,'Cuadro Mando Integral Detallado'!Q164,'Cuadro Mando Integral Detallado'!Q175:Q176,'Cuadro Mando Integral Detallado'!Q196)</f>
        <v>0</v>
      </c>
      <c r="N8" s="294">
        <f>+M8</f>
        <v>0</v>
      </c>
      <c r="O8" s="467">
        <f>SUM('Cuadro Mando Integral Detallado'!R96:R99,'Cuadro Mando Integral Detallado'!R118:R132,'Cuadro Mando Integral Detallado'!R164,'Cuadro Mando Integral Detallado'!R175:R176,'Cuadro Mando Integral Detallado'!R196)/COUNT('Cuadro Mando Integral Detallado'!R96:R99,'Cuadro Mando Integral Detallado'!R118:R132,'Cuadro Mando Integral Detallado'!R164,'Cuadro Mando Integral Detallado'!R175:R176,'Cuadro Mando Integral Detallado'!R196)</f>
        <v>0.24640874895909459</v>
      </c>
      <c r="P8" s="1021">
        <f>+O8</f>
        <v>0.24640874895909459</v>
      </c>
      <c r="Q8" s="1046"/>
      <c r="R8" s="294">
        <f>SUM('Cuadro Mando Integral Detallado'!U96:U99,'Cuadro Mando Integral Detallado'!U118:U132,'Cuadro Mando Integral Detallado'!U164,'Cuadro Mando Integral Detallado'!U175:U176,'Cuadro Mando Integral Detallado'!U196)/COUNT('Cuadro Mando Integral Detallado'!U96:U99,'Cuadro Mando Integral Detallado'!U118:U132,'Cuadro Mando Integral Detallado'!U164,'Cuadro Mando Integral Detallado'!U175:U176,'Cuadro Mando Integral Detallado'!U196)</f>
        <v>0</v>
      </c>
      <c r="S8" s="294">
        <f>+R8</f>
        <v>0</v>
      </c>
      <c r="T8" s="467">
        <f>SUM('Cuadro Mando Integral Detallado'!V96:V99,'Cuadro Mando Integral Detallado'!V118:V132,'Cuadro Mando Integral Detallado'!V164,'Cuadro Mando Integral Detallado'!V175:V176,'Cuadro Mando Integral Detallado'!V196)/COUNT('Cuadro Mando Integral Detallado'!V96:V99,'Cuadro Mando Integral Detallado'!V118:V132,'Cuadro Mando Integral Detallado'!V164,'Cuadro Mando Integral Detallado'!V175:V176,'Cuadro Mando Integral Detallado'!V196)</f>
        <v>0.24640874895909459</v>
      </c>
      <c r="U8" s="1021">
        <f>+T8</f>
        <v>0.24640874895909459</v>
      </c>
    </row>
    <row r="9" spans="1:21" ht="18.75" thickBot="1" x14ac:dyDescent="0.3">
      <c r="A9" s="293" t="s">
        <v>625</v>
      </c>
      <c r="B9" s="470"/>
      <c r="C9" s="1050">
        <f>SUM('Cuadro Mando Integral Detallado'!I94,'Cuadro Mando Integral Detallado'!I101:I102,'Cuadro Mando Integral Detallado'!I133:I139,'Cuadro Mando Integral Detallado'!I165,'Cuadro Mando Integral Detallado'!I177:I178,'Cuadro Mando Integral Detallado'!I197,'Cuadro Mando Integral Detallado'!I203)/COUNT('Cuadro Mando Integral Detallado'!I94,'Cuadro Mando Integral Detallado'!I101:I102,'Cuadro Mando Integral Detallado'!I133:I139,'Cuadro Mando Integral Detallado'!I165,'Cuadro Mando Integral Detallado'!I177:I178,'Cuadro Mando Integral Detallado'!I197,'Cuadro Mando Integral Detallado'!I203)</f>
        <v>0.90444819982624847</v>
      </c>
      <c r="D9" s="1054">
        <f>+C9</f>
        <v>0.90444819982624847</v>
      </c>
      <c r="E9" s="294">
        <f>SUM('Cuadro Mando Integral Detallado'!J94,'Cuadro Mando Integral Detallado'!J101,'Cuadro Mando Integral Detallado'!J133:J139,'Cuadro Mando Integral Detallado'!J165,'Cuadro Mando Integral Detallado'!J177:J178,'Cuadro Mando Integral Detallado'!J197,'Cuadro Mando Integral Detallado'!J203)/COUNT('Cuadro Mando Integral Detallado'!J94,'Cuadro Mando Integral Detallado'!J101,'Cuadro Mando Integral Detallado'!J133:J139,'Cuadro Mando Integral Detallado'!J165,'Cuadro Mando Integral Detallado'!J177:J178,'Cuadro Mando Integral Detallado'!J197,'Cuadro Mando Integral Detallado'!J203)</f>
        <v>0.19381032853419611</v>
      </c>
      <c r="F9" s="467">
        <f>+E9</f>
        <v>0.19381032853419611</v>
      </c>
      <c r="G9" s="163"/>
      <c r="H9" s="294">
        <f>SUM('Cuadro Mando Integral Detallado'!M94,'Cuadro Mando Integral Detallado'!M101:M102,'Cuadro Mando Integral Detallado'!M133:M139,'Cuadro Mando Integral Detallado'!M165,'Cuadro Mando Integral Detallado'!M177:M178,'Cuadro Mando Integral Detallado'!M197,'Cuadro Mando Integral Detallado'!M203)/COUNT('Cuadro Mando Integral Detallado'!M94,'Cuadro Mando Integral Detallado'!M101:M102,'Cuadro Mando Integral Detallado'!M133:M139,'Cuadro Mando Integral Detallado'!M165,'Cuadro Mando Integral Detallado'!M177:M178,'Cuadro Mando Integral Detallado'!M197,'Cuadro Mando Integral Detallado'!M203)</f>
        <v>0</v>
      </c>
      <c r="I9" s="294">
        <f>+H9</f>
        <v>0</v>
      </c>
      <c r="J9" s="467">
        <f>SUM('Cuadro Mando Integral Detallado'!N94,'Cuadro Mando Integral Detallado'!N101:N102,'Cuadro Mando Integral Detallado'!N133:N139,'Cuadro Mando Integral Detallado'!N165,'Cuadro Mando Integral Detallado'!N177:N178,'Cuadro Mando Integral Detallado'!N197,'Cuadro Mando Integral Detallado'!N203)/COUNT('Cuadro Mando Integral Detallado'!N94,'Cuadro Mando Integral Detallado'!N101:N102,'Cuadro Mando Integral Detallado'!N133:N139,'Cuadro Mando Integral Detallado'!N165,'Cuadro Mando Integral Detallado'!N177:N178,'Cuadro Mando Integral Detallado'!N197,'Cuadro Mando Integral Detallado'!N203)</f>
        <v>0.1808896399652497</v>
      </c>
      <c r="K9" s="1059">
        <f>+J9</f>
        <v>0.1808896399652497</v>
      </c>
      <c r="L9" s="1046"/>
      <c r="M9" s="294">
        <f>SUM('Cuadro Mando Integral Detallado'!Q94,'Cuadro Mando Integral Detallado'!Q101:Q102,'Cuadro Mando Integral Detallado'!Q133:Q139,'Cuadro Mando Integral Detallado'!Q165,'Cuadro Mando Integral Detallado'!Q177:Q178,'Cuadro Mando Integral Detallado'!Q197,'Cuadro Mando Integral Detallado'!Q203)/COUNT('Cuadro Mando Integral Detallado'!Q94,'Cuadro Mando Integral Detallado'!Q101:Q102,'Cuadro Mando Integral Detallado'!Q133:Q139,'Cuadro Mando Integral Detallado'!Q165,'Cuadro Mando Integral Detallado'!Q177:Q178,'Cuadro Mando Integral Detallado'!Q197,'Cuadro Mando Integral Detallado'!Q203)</f>
        <v>0</v>
      </c>
      <c r="N9" s="294">
        <f>+M9</f>
        <v>0</v>
      </c>
      <c r="O9" s="467">
        <f>SUM('Cuadro Mando Integral Detallado'!R94,'Cuadro Mando Integral Detallado'!R101:R102,'Cuadro Mando Integral Detallado'!R133:R139,'Cuadro Mando Integral Detallado'!R165,'Cuadro Mando Integral Detallado'!R177:R178,'Cuadro Mando Integral Detallado'!R197,'Cuadro Mando Integral Detallado'!R203)/COUNT('Cuadro Mando Integral Detallado'!R94,'Cuadro Mando Integral Detallado'!R101:R102,'Cuadro Mando Integral Detallado'!R133:R139,'Cuadro Mando Integral Detallado'!R165,'Cuadro Mando Integral Detallado'!R177:R178,'Cuadro Mando Integral Detallado'!R197,'Cuadro Mando Integral Detallado'!R203)</f>
        <v>0.1808896399652497</v>
      </c>
      <c r="P9" s="1021">
        <f>+O9</f>
        <v>0.1808896399652497</v>
      </c>
      <c r="Q9" s="1046"/>
      <c r="R9" s="294">
        <f>SUM('Cuadro Mando Integral Detallado'!U94,'Cuadro Mando Integral Detallado'!U101:U102,'Cuadro Mando Integral Detallado'!U133:U139,'Cuadro Mando Integral Detallado'!U165,'Cuadro Mando Integral Detallado'!U177:U178,'Cuadro Mando Integral Detallado'!U197,'Cuadro Mando Integral Detallado'!U203)/COUNT('Cuadro Mando Integral Detallado'!U94,'Cuadro Mando Integral Detallado'!U101:U102,'Cuadro Mando Integral Detallado'!U133:U139,'Cuadro Mando Integral Detallado'!U165,'Cuadro Mando Integral Detallado'!U177:U178,'Cuadro Mando Integral Detallado'!U197,'Cuadro Mando Integral Detallado'!U203)</f>
        <v>0</v>
      </c>
      <c r="S9" s="294">
        <f>+R9</f>
        <v>0</v>
      </c>
      <c r="T9" s="467">
        <f>SUM('Cuadro Mando Integral Detallado'!V94,'Cuadro Mando Integral Detallado'!V101:V102,'Cuadro Mando Integral Detallado'!V133:V139,'Cuadro Mando Integral Detallado'!V165,'Cuadro Mando Integral Detallado'!V177:V178,'Cuadro Mando Integral Detallado'!V197,'Cuadro Mando Integral Detallado'!V203)/COUNT('Cuadro Mando Integral Detallado'!V94,'Cuadro Mando Integral Detallado'!V101:V102,'Cuadro Mando Integral Detallado'!V133:V139,'Cuadro Mando Integral Detallado'!V165,'Cuadro Mando Integral Detallado'!V177:V178,'Cuadro Mando Integral Detallado'!V197,'Cuadro Mando Integral Detallado'!V203)</f>
        <v>0.1808896399652497</v>
      </c>
      <c r="U9" s="1021">
        <f>+T9</f>
        <v>0.1808896399652497</v>
      </c>
    </row>
    <row r="10" spans="1:21" ht="54.75" thickBot="1" x14ac:dyDescent="0.3">
      <c r="A10" s="293" t="s">
        <v>835</v>
      </c>
      <c r="B10" s="470"/>
      <c r="C10" s="1050">
        <f>SUM('Cuadro Mando Integral Detallado'!I65:I73,'Cuadro Mando Integral Detallado'!I166,'Cuadro Mando Integral Detallado'!I179:I180,'Cuadro Mando Integral Detallado'!I199:I201)/COUNT('Cuadro Mando Integral Detallado'!I65:I73,'Cuadro Mando Integral Detallado'!I166,'Cuadro Mando Integral Detallado'!I179:I180,'Cuadro Mando Integral Detallado'!I199:I201)</f>
        <v>0.84437088630926582</v>
      </c>
      <c r="D10" s="1054">
        <f>+C10</f>
        <v>0.84437088630926582</v>
      </c>
      <c r="E10" s="294">
        <f>SUM('Cuadro Mando Integral Detallado'!J65:J73,'Cuadro Mando Integral Detallado'!J166,'Cuadro Mando Integral Detallado'!J179:J180,'Cuadro Mando Integral Detallado'!J199:J201)/COUNT('Cuadro Mando Integral Detallado'!J65:J73,'Cuadro Mando Integral Detallado'!J166,'Cuadro Mando Integral Detallado'!J179:J180,'Cuadro Mando Integral Detallado'!J199:J201)</f>
        <v>0.10211725096103889</v>
      </c>
      <c r="F10" s="467">
        <f>+E10</f>
        <v>0.10211725096103889</v>
      </c>
      <c r="G10" s="163"/>
      <c r="H10" s="294">
        <f>SUM('Cuadro Mando Integral Detallado'!M65:M73,'Cuadro Mando Integral Detallado'!M166,'Cuadro Mando Integral Detallado'!M179:M180,'Cuadro Mando Integral Detallado'!M199:M201)/COUNT('Cuadro Mando Integral Detallado'!M65:M73,'Cuadro Mando Integral Detallado'!M166,'Cuadro Mando Integral Detallado'!M179:M180,'Cuadro Mando Integral Detallado'!M199:M201)</f>
        <v>0</v>
      </c>
      <c r="I10" s="294">
        <f>+H10</f>
        <v>0</v>
      </c>
      <c r="J10" s="467">
        <f>SUM('Cuadro Mando Integral Detallado'!N65:N73,'Cuadro Mando Integral Detallado'!N166,'Cuadro Mando Integral Detallado'!N179:N180,'Cuadro Mando Integral Detallado'!N199:N201)/COUNT('Cuadro Mando Integral Detallado'!N65:N73,'Cuadro Mando Integral Detallado'!N166,'Cuadro Mando Integral Detallado'!N179:N180,'Cuadro Mando Integral Detallado'!N199:N201)</f>
        <v>0.10211725096103889</v>
      </c>
      <c r="K10" s="1059">
        <f>+J10</f>
        <v>0.10211725096103889</v>
      </c>
      <c r="L10" s="1046"/>
      <c r="M10" s="294">
        <f>SUM('Cuadro Mando Integral Detallado'!Q65:Q73,'Cuadro Mando Integral Detallado'!Q166,'Cuadro Mando Integral Detallado'!Q179:Q180,'Cuadro Mando Integral Detallado'!Q199:Q201)/COUNT('Cuadro Mando Integral Detallado'!Q65:Q73,'Cuadro Mando Integral Detallado'!Q166,'Cuadro Mando Integral Detallado'!Q179:Q180,'Cuadro Mando Integral Detallado'!Q199:Q201)</f>
        <v>0</v>
      </c>
      <c r="N10" s="294">
        <f>+M10</f>
        <v>0</v>
      </c>
      <c r="O10" s="467">
        <f>SUM('Cuadro Mando Integral Detallado'!R65:R73,'Cuadro Mando Integral Detallado'!R166,'Cuadro Mando Integral Detallado'!R179:R180,'Cuadro Mando Integral Detallado'!R199:R201)/COUNT('Cuadro Mando Integral Detallado'!R65:R73,'Cuadro Mando Integral Detallado'!R166,'Cuadro Mando Integral Detallado'!R179:R180,'Cuadro Mando Integral Detallado'!R199:R201)</f>
        <v>0.10211725096103889</v>
      </c>
      <c r="P10" s="1021">
        <f>+O10</f>
        <v>0.10211725096103889</v>
      </c>
      <c r="Q10" s="1046"/>
      <c r="R10" s="294">
        <f>SUM('Cuadro Mando Integral Detallado'!U65:U73,'Cuadro Mando Integral Detallado'!U166,'Cuadro Mando Integral Detallado'!U179:U180,'Cuadro Mando Integral Detallado'!U199:U201)/COUNT('Cuadro Mando Integral Detallado'!U65:U73,'Cuadro Mando Integral Detallado'!U166,'Cuadro Mando Integral Detallado'!U179:U180,'Cuadro Mando Integral Detallado'!U199:U201)</f>
        <v>0</v>
      </c>
      <c r="S10" s="294">
        <f>+R10</f>
        <v>0</v>
      </c>
      <c r="T10" s="467">
        <f>SUM('Cuadro Mando Integral Detallado'!V65:V73,'Cuadro Mando Integral Detallado'!V166,'Cuadro Mando Integral Detallado'!V179:V180,'Cuadro Mando Integral Detallado'!V199:V201)/COUNT('Cuadro Mando Integral Detallado'!V65:V73,'Cuadro Mando Integral Detallado'!V166,'Cuadro Mando Integral Detallado'!V179:V180,'Cuadro Mando Integral Detallado'!V199:V201)</f>
        <v>0.10211725096103889</v>
      </c>
      <c r="U10" s="1021">
        <f>+T10</f>
        <v>0.10211725096103889</v>
      </c>
    </row>
    <row r="11" spans="1:21" ht="36.75" thickBot="1" x14ac:dyDescent="0.3">
      <c r="A11" s="299" t="s">
        <v>29</v>
      </c>
      <c r="B11" s="470"/>
      <c r="C11" s="1050">
        <f>SUM('Cuadro Mando Integral Detallado'!I15,'Cuadro Mando Integral Detallado'!I20:I33,'Cuadro Mando Integral Detallado'!I105:I111,'Cuadro Mando Integral Detallado'!I181:I187,'Cuadro Mando Integral Detallado'!I212:I213)/COUNT('Cuadro Mando Integral Detallado'!I15,'Cuadro Mando Integral Detallado'!I20:I33,'Cuadro Mando Integral Detallado'!I105:I111,'Cuadro Mando Integral Detallado'!I181:I187,'Cuadro Mando Integral Detallado'!I212:I213)</f>
        <v>0.76947104961463109</v>
      </c>
      <c r="D11" s="1054">
        <f>+C11</f>
        <v>0.76947104961463109</v>
      </c>
      <c r="E11" s="294">
        <f>SUM('Cuadro Mando Integral Detallado'!J20:J33,'Cuadro Mando Integral Detallado'!J15:J17,'Cuadro Mando Integral Detallado'!J105:J111,'Cuadro Mando Integral Detallado'!J181:J187,'Cuadro Mando Integral Detallado'!J212:J213)/COUNT('Cuadro Mando Integral Detallado'!J20:J33,'Cuadro Mando Integral Detallado'!J15:J17,'Cuadro Mando Integral Detallado'!J105:J111,'Cuadro Mando Integral Detallado'!J181:J187,'Cuadro Mando Integral Detallado'!J212:J213)</f>
        <v>0.19092728792190439</v>
      </c>
      <c r="F11" s="467">
        <f>+E11</f>
        <v>0.19092728792190439</v>
      </c>
      <c r="G11" s="163"/>
      <c r="H11" s="294">
        <f>SUM('Cuadro Mando Integral Detallado'!M15:M33,'Cuadro Mando Integral Detallado'!M105:M111,'Cuadro Mando Integral Detallado'!M181:M187,'Cuadro Mando Integral Detallado'!M212:M213)/COUNT('Cuadro Mando Integral Detallado'!M15:M33,'Cuadro Mando Integral Detallado'!M105:M111,'Cuadro Mando Integral Detallado'!M181:M187,'Cuadro Mando Integral Detallado'!M212:M213)</f>
        <v>0</v>
      </c>
      <c r="I11" s="294">
        <f>+H11</f>
        <v>0</v>
      </c>
      <c r="J11" s="467">
        <f>SUM('Cuadro Mando Integral Detallado'!N20:N33,'Cuadro Mando Integral Detallado'!N105:N111,'Cuadro Mando Integral Detallado'!N181:N187,'Cuadro Mando Integral Detallado'!N212:N213)/COUNT('Cuadro Mando Integral Detallado'!N15:N33,'Cuadro Mando Integral Detallado'!N105:N111,'Cuadro Mando Integral Detallado'!N181:N187,'Cuadro Mando Integral Detallado'!N212:N213)</f>
        <v>0.18640178934888574</v>
      </c>
      <c r="K11" s="1059">
        <f>+J11</f>
        <v>0.18640178934888574</v>
      </c>
      <c r="L11" s="1046"/>
      <c r="M11" s="294">
        <f>SUM('Cuadro Mando Integral Detallado'!Q15:Q33,'Cuadro Mando Integral Detallado'!Q105:Q111,'Cuadro Mando Integral Detallado'!Q181:Q187,'Cuadro Mando Integral Detallado'!Q212:Q213)/COUNT('Cuadro Mando Integral Detallado'!Q15:Q33,'Cuadro Mando Integral Detallado'!Q105:Q111,'Cuadro Mando Integral Detallado'!Q181:Q187,'Cuadro Mando Integral Detallado'!Q212:Q213)</f>
        <v>0</v>
      </c>
      <c r="N11" s="294">
        <f>+M11</f>
        <v>0</v>
      </c>
      <c r="O11" s="467">
        <f>SUM('Cuadro Mando Integral Detallado'!R20:R33,'Cuadro Mando Integral Detallado'!R105:R111,'Cuadro Mando Integral Detallado'!R181:R187,'Cuadro Mando Integral Detallado'!R212:R213)/COUNT('Cuadro Mando Integral Detallado'!R15:R33,'Cuadro Mando Integral Detallado'!R105:R111,'Cuadro Mando Integral Detallado'!R181:R187,'Cuadro Mando Integral Detallado'!R212:R213)</f>
        <v>0.18640178934888574</v>
      </c>
      <c r="P11" s="1021">
        <f>+O11</f>
        <v>0.18640178934888574</v>
      </c>
      <c r="Q11" s="1046"/>
      <c r="R11" s="294">
        <f>SUM('Cuadro Mando Integral Detallado'!U15:U33,'Cuadro Mando Integral Detallado'!U105:U111,'Cuadro Mando Integral Detallado'!U181:U187,'Cuadro Mando Integral Detallado'!U212:U213)/COUNT('Cuadro Mando Integral Detallado'!U15:U33,'Cuadro Mando Integral Detallado'!U105:U111,'Cuadro Mando Integral Detallado'!U181:U187,'Cuadro Mando Integral Detallado'!U212:U213)</f>
        <v>0</v>
      </c>
      <c r="S11" s="294">
        <f>+R11</f>
        <v>0</v>
      </c>
      <c r="T11" s="467">
        <f>SUM('Cuadro Mando Integral Detallado'!V20:V33,'Cuadro Mando Integral Detallado'!V105:V111,'Cuadro Mando Integral Detallado'!V181:V187,'Cuadro Mando Integral Detallado'!V212:V213)/COUNT('Cuadro Mando Integral Detallado'!V15:V33,'Cuadro Mando Integral Detallado'!V105:V111,'Cuadro Mando Integral Detallado'!V181:V187,'Cuadro Mando Integral Detallado'!V212:V213)</f>
        <v>0.18640178934888574</v>
      </c>
      <c r="U11" s="1021">
        <f>+T11</f>
        <v>0.18640178934888574</v>
      </c>
    </row>
    <row r="12" spans="1:21" ht="36.75" thickBot="1" x14ac:dyDescent="0.3">
      <c r="A12" s="299" t="s">
        <v>836</v>
      </c>
      <c r="B12" s="470"/>
      <c r="C12" s="1050">
        <f>SUM('Cuadro Mando Integral Detallado'!I35,'Cuadro Mando Integral Detallado'!I115:I116,'Cuadro Mando Integral Detallado'!I170)/COUNT('Cuadro Mando Integral Detallado'!I35,'Cuadro Mando Integral Detallado'!I115:I116,'Cuadro Mando Integral Detallado'!I170)</f>
        <v>0.84814814021705642</v>
      </c>
      <c r="D12" s="1054">
        <f>+C12</f>
        <v>0.84814814021705642</v>
      </c>
      <c r="E12" s="294">
        <f>SUM('Cuadro Mando Integral Detallado'!J35,'Cuadro Mando Integral Detallado'!J115:J116,'Cuadro Mando Integral Detallado'!J170)/COUNT('Cuadro Mando Integral Detallado'!J35,'Cuadro Mando Integral Detallado'!J115:J116,'Cuadro Mando Integral Detallado'!J170)</f>
        <v>0.15902777629069809</v>
      </c>
      <c r="F12" s="467">
        <f>+E12</f>
        <v>0.15902777629069809</v>
      </c>
      <c r="G12" s="163"/>
      <c r="H12" s="294">
        <f>SUM('Cuadro Mando Integral Detallado'!M35,'Cuadro Mando Integral Detallado'!M115:M116,'Cuadro Mando Integral Detallado'!M170)/COUNT('Cuadro Mando Integral Detallado'!M35,'Cuadro Mando Integral Detallado'!M115:M116,'Cuadro Mando Integral Detallado'!M170)</f>
        <v>0</v>
      </c>
      <c r="I12" s="294">
        <f>+H12</f>
        <v>0</v>
      </c>
      <c r="J12" s="467">
        <f>SUM('Cuadro Mando Integral Detallado'!N35,'Cuadro Mando Integral Detallado'!N115:N116,'Cuadro Mando Integral Detallado'!N170)/COUNT('Cuadro Mando Integral Detallado'!N35,'Cuadro Mando Integral Detallado'!N115:N116,'Cuadro Mando Integral Detallado'!N170)</f>
        <v>0.15902777629069809</v>
      </c>
      <c r="K12" s="1059">
        <f>+J12</f>
        <v>0.15902777629069809</v>
      </c>
      <c r="L12" s="1046"/>
      <c r="M12" s="294">
        <f>SUM('Cuadro Mando Integral Detallado'!Q35,'Cuadro Mando Integral Detallado'!Q115:Q116,'Cuadro Mando Integral Detallado'!Q170)/COUNT('Cuadro Mando Integral Detallado'!Q35,'Cuadro Mando Integral Detallado'!Q115:Q116,'Cuadro Mando Integral Detallado'!Q170)</f>
        <v>0</v>
      </c>
      <c r="N12" s="294">
        <f>+M12</f>
        <v>0</v>
      </c>
      <c r="O12" s="467">
        <f>SUM('Cuadro Mando Integral Detallado'!R35,'Cuadro Mando Integral Detallado'!R115:R116,'Cuadro Mando Integral Detallado'!R170)/COUNT('Cuadro Mando Integral Detallado'!R35,'Cuadro Mando Integral Detallado'!R115:R116,'Cuadro Mando Integral Detallado'!R170)</f>
        <v>0.15902777629069809</v>
      </c>
      <c r="P12" s="1021">
        <f>+O12</f>
        <v>0.15902777629069809</v>
      </c>
      <c r="Q12" s="1046"/>
      <c r="R12" s="294">
        <f>SUM('Cuadro Mando Integral Detallado'!U35,'Cuadro Mando Integral Detallado'!U115:U116,'Cuadro Mando Integral Detallado'!U170)/COUNT('Cuadro Mando Integral Detallado'!U35,'Cuadro Mando Integral Detallado'!U115:U116,'Cuadro Mando Integral Detallado'!U170)</f>
        <v>0</v>
      </c>
      <c r="S12" s="294">
        <f>+R12</f>
        <v>0</v>
      </c>
      <c r="T12" s="467">
        <f>SUM('Cuadro Mando Integral Detallado'!V35,'Cuadro Mando Integral Detallado'!V115:V116,'Cuadro Mando Integral Detallado'!V170)/COUNT('Cuadro Mando Integral Detallado'!V35,'Cuadro Mando Integral Detallado'!V115:V116,'Cuadro Mando Integral Detallado'!V170)</f>
        <v>0.15902777629069809</v>
      </c>
      <c r="U12" s="1021">
        <f>+T12</f>
        <v>0.15902777629069809</v>
      </c>
    </row>
    <row r="13" spans="1:21" ht="18.75" thickBot="1" x14ac:dyDescent="0.3">
      <c r="A13" s="299" t="s">
        <v>349</v>
      </c>
      <c r="B13" s="470"/>
      <c r="C13" s="1050">
        <f>SUM('Cuadro Mando Integral Detallado'!I75:I93,'Cuadro Mando Integral Detallado'!I150:I160,'Cuadro Mando Integral Detallado'!I169,'Cuadro Mando Integral Detallado'!I193:I194,'Cuadro Mando Integral Detallado'!I204:I209)/COUNT('Cuadro Mando Integral Detallado'!I75:I93,'Cuadro Mando Integral Detallado'!I150:I160,'Cuadro Mando Integral Detallado'!I169,'Cuadro Mando Integral Detallado'!I193:I194,'Cuadro Mando Integral Detallado'!I204:I209)</f>
        <v>0.54575634588709498</v>
      </c>
      <c r="D13" s="1054">
        <f>+C13</f>
        <v>0.54575634588709498</v>
      </c>
      <c r="E13" s="294">
        <f>SUM('Cuadro Mando Integral Detallado'!J75:J93,'Cuadro Mando Integral Detallado'!J150:J160,'Cuadro Mando Integral Detallado'!J169,'Cuadro Mando Integral Detallado'!J193:J194,'Cuadro Mando Integral Detallado'!J204:J209)/COUNT('Cuadro Mando Integral Detallado'!J75:J93,'Cuadro Mando Integral Detallado'!J150:J160,'Cuadro Mando Integral Detallado'!J169,'Cuadro Mando Integral Detallado'!J193:J194,'Cuadro Mando Integral Detallado'!J204:J209)</f>
        <v>0.12940752141894213</v>
      </c>
      <c r="F13" s="467">
        <f>+E13</f>
        <v>0.12940752141894213</v>
      </c>
      <c r="G13" s="163"/>
      <c r="H13" s="294">
        <f>SUM('Cuadro Mando Integral Detallado'!M75:M94,'Cuadro Mando Integral Detallado'!M150:M160,'Cuadro Mando Integral Detallado'!M169,'Cuadro Mando Integral Detallado'!M193:M194,'Cuadro Mando Integral Detallado'!M204:M209)/COUNT('Cuadro Mando Integral Detallado'!M75:M94,'Cuadro Mando Integral Detallado'!M150:M160,'Cuadro Mando Integral Detallado'!M169,'Cuadro Mando Integral Detallado'!M193:M194,'Cuadro Mando Integral Detallado'!M204:M209)</f>
        <v>0</v>
      </c>
      <c r="I13" s="294">
        <f>+H13</f>
        <v>0</v>
      </c>
      <c r="J13" s="467">
        <f>SUM('Cuadro Mando Integral Detallado'!N75:N94,'Cuadro Mando Integral Detallado'!N150:N160,'Cuadro Mando Integral Detallado'!N169,'Cuadro Mando Integral Detallado'!N193:N194,'Cuadro Mando Integral Detallado'!N204:N209)/COUNT('Cuadro Mando Integral Detallado'!N75:N94,'Cuadro Mando Integral Detallado'!N150:N160,'Cuadro Mando Integral Detallado'!N169,'Cuadro Mando Integral Detallado'!N193:N194,'Cuadro Mando Integral Detallado'!N204:N209)</f>
        <v>0.12720222715617871</v>
      </c>
      <c r="K13" s="1059">
        <f>+J13</f>
        <v>0.12720222715617871</v>
      </c>
      <c r="L13" s="1046"/>
      <c r="M13" s="294">
        <f>SUM('Cuadro Mando Integral Detallado'!Q75:Q94,'Cuadro Mando Integral Detallado'!Q150:Q160,'Cuadro Mando Integral Detallado'!Q169,'Cuadro Mando Integral Detallado'!Q193:Q194,'Cuadro Mando Integral Detallado'!Q204:Q209)/COUNT('Cuadro Mando Integral Detallado'!Q75:Q94,'Cuadro Mando Integral Detallado'!Q150:Q160,'Cuadro Mando Integral Detallado'!Q169,'Cuadro Mando Integral Detallado'!Q193:Q194,'Cuadro Mando Integral Detallado'!Q204:Q209)</f>
        <v>0</v>
      </c>
      <c r="N13" s="294">
        <f>+M13</f>
        <v>0</v>
      </c>
      <c r="O13" s="467">
        <f>SUM('Cuadro Mando Integral Detallado'!R75:R94,'Cuadro Mando Integral Detallado'!R150:R160,'Cuadro Mando Integral Detallado'!R169,'Cuadro Mando Integral Detallado'!R193:R194,'Cuadro Mando Integral Detallado'!R204:R209)/COUNT('Cuadro Mando Integral Detallado'!R75:R94,'Cuadro Mando Integral Detallado'!R150:R160,'Cuadro Mando Integral Detallado'!R169,'Cuadro Mando Integral Detallado'!R193:R194,'Cuadro Mando Integral Detallado'!R204:R209)</f>
        <v>0.12720222715617871</v>
      </c>
      <c r="P13" s="1021">
        <f>+O13</f>
        <v>0.12720222715617871</v>
      </c>
      <c r="Q13" s="1046"/>
      <c r="R13" s="294">
        <f>SUM('Cuadro Mando Integral Detallado'!U75:U94,'Cuadro Mando Integral Detallado'!U150:U160,'Cuadro Mando Integral Detallado'!U169,'Cuadro Mando Integral Detallado'!U193:U194,'Cuadro Mando Integral Detallado'!U204:U209)/COUNT('Cuadro Mando Integral Detallado'!U75:U94,'Cuadro Mando Integral Detallado'!U150:U160,'Cuadro Mando Integral Detallado'!U169,'Cuadro Mando Integral Detallado'!U193:U194,'Cuadro Mando Integral Detallado'!U204:U209)</f>
        <v>0</v>
      </c>
      <c r="S13" s="294">
        <f>+R13</f>
        <v>0</v>
      </c>
      <c r="T13" s="467">
        <f>SUM('Cuadro Mando Integral Detallado'!V75:V94,'Cuadro Mando Integral Detallado'!V150:V160,'Cuadro Mando Integral Detallado'!V169,'Cuadro Mando Integral Detallado'!V193:V194,'Cuadro Mando Integral Detallado'!V204:V209)/COUNT('Cuadro Mando Integral Detallado'!V75:V94,'Cuadro Mando Integral Detallado'!V150:V160,'Cuadro Mando Integral Detallado'!V169,'Cuadro Mando Integral Detallado'!V193:V194,'Cuadro Mando Integral Detallado'!V204:V209)</f>
        <v>0.12720222715617871</v>
      </c>
      <c r="U13" s="1021">
        <f>+T13</f>
        <v>0.12720222715617871</v>
      </c>
    </row>
    <row r="14" spans="1:21" ht="18.75" thickBot="1" x14ac:dyDescent="0.3">
      <c r="A14" s="295" t="s">
        <v>5</v>
      </c>
      <c r="B14" s="471"/>
      <c r="C14" s="1052">
        <f>SUM('Cuadro Mando Integral Detallado'!I114,'Cuadro Mando Integral Detallado'!I168,'Cuadro Mando Integral Detallado'!I188:I192,'Cuadro Mando Integral Detallado'!I214)/COUNT('Cuadro Mando Integral Detallado'!I114,'Cuadro Mando Integral Detallado'!I168,'Cuadro Mando Integral Detallado'!I188:I192,'Cuadro Mando Integral Detallado'!I214)</f>
        <v>0.97735849056603785</v>
      </c>
      <c r="D14" s="1055">
        <f>+C14</f>
        <v>0.97735849056603785</v>
      </c>
      <c r="E14" s="297">
        <f>SUM('Cuadro Mando Integral Detallado'!J114,'Cuadro Mando Integral Detallado'!J168,'Cuadro Mando Integral Detallado'!J188:J192,'Cuadro Mando Integral Detallado'!J214)/COUNT('Cuadro Mando Integral Detallado'!J114,'Cuadro Mando Integral Detallado'!J168,'Cuadro Mando Integral Detallado'!J188:J192,'Cuadro Mando Integral Detallado'!J214)</f>
        <v>0.21875</v>
      </c>
      <c r="F14" s="468">
        <f>+E14</f>
        <v>0.21875</v>
      </c>
      <c r="G14" s="163"/>
      <c r="H14" s="297">
        <f>SUM('Cuadro Mando Integral Detallado'!M114,'Cuadro Mando Integral Detallado'!M168,'Cuadro Mando Integral Detallado'!M188:M192,'Cuadro Mando Integral Detallado'!M214)/COUNT('Cuadro Mando Integral Detallado'!M114,'Cuadro Mando Integral Detallado'!M168,'Cuadro Mando Integral Detallado'!L188:M192,'Cuadro Mando Integral Detallado'!M214)</f>
        <v>0</v>
      </c>
      <c r="I14" s="297">
        <f>+H14</f>
        <v>0</v>
      </c>
      <c r="J14" s="297">
        <f>SUM('Cuadro Mando Integral Detallado'!N114,'Cuadro Mando Integral Detallado'!N168,'Cuadro Mando Integral Detallado'!N188:N192,'Cuadro Mando Integral Detallado'!N214)/COUNT('Cuadro Mando Integral Detallado'!N114,'Cuadro Mando Integral Detallado'!N168,'Cuadro Mando Integral Detallado'!N188:N192,'Cuadro Mando Integral Detallado'!N214)</f>
        <v>0.21875</v>
      </c>
      <c r="K14" s="1059">
        <f>+J14</f>
        <v>0.21875</v>
      </c>
      <c r="L14" s="1046"/>
      <c r="M14" s="297">
        <f>SUM('Cuadro Mando Integral Detallado'!Q114,'Cuadro Mando Integral Detallado'!Q168,'Cuadro Mando Integral Detallado'!Q188:Q192,'Cuadro Mando Integral Detallado'!Q214)/COUNT('Cuadro Mando Integral Detallado'!Q114,'Cuadro Mando Integral Detallado'!Q168,'Cuadro Mando Integral Detallado'!Q188:Q192,'Cuadro Mando Integral Detallado'!Q214)</f>
        <v>0</v>
      </c>
      <c r="N14" s="297">
        <f>+M14</f>
        <v>0</v>
      </c>
      <c r="O14" s="468">
        <f>SUM('Cuadro Mando Integral Detallado'!R114,'Cuadro Mando Integral Detallado'!R168,'Cuadro Mando Integral Detallado'!R188:R192,'Cuadro Mando Integral Detallado'!R214)/COUNT('Cuadro Mando Integral Detallado'!R114,'Cuadro Mando Integral Detallado'!R168,'Cuadro Mando Integral Detallado'!R188:R192,'Cuadro Mando Integral Detallado'!R214)</f>
        <v>0.21875</v>
      </c>
      <c r="P14" s="1021">
        <f>+O14</f>
        <v>0.21875</v>
      </c>
      <c r="Q14" s="1046"/>
      <c r="R14" s="297">
        <f>SUM('Cuadro Mando Integral Detallado'!U114,'Cuadro Mando Integral Detallado'!U168,'Cuadro Mando Integral Detallado'!U188:U192,'Cuadro Mando Integral Detallado'!U214)/COUNT('Cuadro Mando Integral Detallado'!U114,'Cuadro Mando Integral Detallado'!U168,'Cuadro Mando Integral Detallado'!U188:U192,'Cuadro Mando Integral Detallado'!U214)</f>
        <v>0</v>
      </c>
      <c r="S14" s="297">
        <f>+R14</f>
        <v>0</v>
      </c>
      <c r="T14" s="468">
        <f>SUM('Cuadro Mando Integral Detallado'!V114,'Cuadro Mando Integral Detallado'!V168,'Cuadro Mando Integral Detallado'!V188:V192,'Cuadro Mando Integral Detallado'!V214)/COUNT('Cuadro Mando Integral Detallado'!V114,'Cuadro Mando Integral Detallado'!V168,'Cuadro Mando Integral Detallado'!V188:V192,'Cuadro Mando Integral Detallado'!V214)</f>
        <v>0.21875</v>
      </c>
      <c r="U14" s="1021">
        <f>+T14</f>
        <v>0.21875</v>
      </c>
    </row>
    <row r="15" spans="1:21" x14ac:dyDescent="0.25">
      <c r="A15" s="173"/>
    </row>
  </sheetData>
  <mergeCells count="18">
    <mergeCell ref="R5:S5"/>
    <mergeCell ref="T5:U5"/>
    <mergeCell ref="G3:N3"/>
    <mergeCell ref="P3:Q3"/>
    <mergeCell ref="C5:D5"/>
    <mergeCell ref="E5:F5"/>
    <mergeCell ref="E3:F3"/>
    <mergeCell ref="B1:D1"/>
    <mergeCell ref="B2:D2"/>
    <mergeCell ref="B3:D3"/>
    <mergeCell ref="H5:I5"/>
    <mergeCell ref="J5:K5"/>
    <mergeCell ref="M5:N5"/>
    <mergeCell ref="O5:P5"/>
    <mergeCell ref="A1:A3"/>
    <mergeCell ref="E1:Q1"/>
    <mergeCell ref="E2:Q2"/>
    <mergeCell ref="R1:U3"/>
  </mergeCells>
  <conditionalFormatting sqref="F6">
    <cfRule type="cellIs" dxfId="389" priority="876" operator="between">
      <formula>0.191</formula>
      <formula>0.24</formula>
    </cfRule>
    <cfRule type="cellIs" dxfId="388" priority="877" operator="between">
      <formula>0.1251</formula>
      <formula>0.19</formula>
    </cfRule>
    <cfRule type="cellIs" dxfId="387" priority="878" operator="greaterThan">
      <formula>0.2601</formula>
    </cfRule>
    <cfRule type="cellIs" dxfId="386" priority="879" operator="between">
      <formula>0.2401</formula>
      <formula>0.26</formula>
    </cfRule>
    <cfRule type="cellIs" dxfId="385" priority="880" stopIfTrue="1" operator="between">
      <formula>0</formula>
      <formula>0.125</formula>
    </cfRule>
  </conditionalFormatting>
  <conditionalFormatting sqref="F7">
    <cfRule type="cellIs" dxfId="384" priority="541" operator="between">
      <formula>0.191</formula>
      <formula>0.24</formula>
    </cfRule>
    <cfRule type="cellIs" dxfId="383" priority="542" operator="between">
      <formula>0.1251</formula>
      <formula>0.19</formula>
    </cfRule>
    <cfRule type="cellIs" dxfId="382" priority="543" operator="greaterThan">
      <formula>0.2601</formula>
    </cfRule>
    <cfRule type="cellIs" dxfId="381" priority="544" operator="between">
      <formula>0.2401</formula>
      <formula>0.26</formula>
    </cfRule>
    <cfRule type="cellIs" dxfId="380" priority="545" stopIfTrue="1" operator="between">
      <formula>0</formula>
      <formula>0.125</formula>
    </cfRule>
  </conditionalFormatting>
  <conditionalFormatting sqref="F8">
    <cfRule type="cellIs" dxfId="379" priority="536" operator="between">
      <formula>0.191</formula>
      <formula>0.24</formula>
    </cfRule>
    <cfRule type="cellIs" dxfId="378" priority="537" operator="between">
      <formula>0.1251</formula>
      <formula>0.19</formula>
    </cfRule>
    <cfRule type="cellIs" dxfId="377" priority="538" operator="greaterThan">
      <formula>0.2601</formula>
    </cfRule>
    <cfRule type="cellIs" dxfId="376" priority="539" operator="between">
      <formula>0.2401</formula>
      <formula>0.26</formula>
    </cfRule>
    <cfRule type="cellIs" dxfId="375" priority="540" stopIfTrue="1" operator="between">
      <formula>0</formula>
      <formula>0.125</formula>
    </cfRule>
  </conditionalFormatting>
  <conditionalFormatting sqref="F9">
    <cfRule type="cellIs" dxfId="374" priority="531" operator="between">
      <formula>0.191</formula>
      <formula>0.24</formula>
    </cfRule>
    <cfRule type="cellIs" dxfId="373" priority="532" operator="between">
      <formula>0.1251</formula>
      <formula>0.19</formula>
    </cfRule>
    <cfRule type="cellIs" dxfId="372" priority="533" operator="greaterThan">
      <formula>0.2601</formula>
    </cfRule>
    <cfRule type="cellIs" dxfId="371" priority="534" operator="between">
      <formula>0.2401</formula>
      <formula>0.26</formula>
    </cfRule>
    <cfRule type="cellIs" dxfId="370" priority="535" stopIfTrue="1" operator="between">
      <formula>0</formula>
      <formula>0.125</formula>
    </cfRule>
  </conditionalFormatting>
  <conditionalFormatting sqref="F10">
    <cfRule type="cellIs" dxfId="369" priority="526" operator="between">
      <formula>0.1901</formula>
      <formula>0.24</formula>
    </cfRule>
    <cfRule type="cellIs" dxfId="368" priority="527" operator="between">
      <formula>0.1251</formula>
      <formula>0.19</formula>
    </cfRule>
    <cfRule type="cellIs" dxfId="367" priority="528" operator="greaterThan">
      <formula>0.2601</formula>
    </cfRule>
    <cfRule type="cellIs" dxfId="366" priority="529" operator="between">
      <formula>0.2401</formula>
      <formula>0.26</formula>
    </cfRule>
    <cfRule type="cellIs" dxfId="365" priority="530" stopIfTrue="1" operator="between">
      <formula>0</formula>
      <formula>0.125</formula>
    </cfRule>
  </conditionalFormatting>
  <conditionalFormatting sqref="F12">
    <cfRule type="cellIs" dxfId="364" priority="516" operator="between">
      <formula>0.191</formula>
      <formula>0.24</formula>
    </cfRule>
    <cfRule type="cellIs" dxfId="363" priority="517" operator="between">
      <formula>0.1251</formula>
      <formula>0.19</formula>
    </cfRule>
    <cfRule type="cellIs" dxfId="362" priority="518" operator="greaterThan">
      <formula>0.2601</formula>
    </cfRule>
    <cfRule type="cellIs" dxfId="361" priority="519" operator="between">
      <formula>0.2401</formula>
      <formula>0.26</formula>
    </cfRule>
    <cfRule type="cellIs" dxfId="360" priority="520" stopIfTrue="1" operator="between">
      <formula>0</formula>
      <formula>0.125</formula>
    </cfRule>
  </conditionalFormatting>
  <conditionalFormatting sqref="F13">
    <cfRule type="cellIs" dxfId="359" priority="511" operator="between">
      <formula>0.191</formula>
      <formula>0.24</formula>
    </cfRule>
    <cfRule type="cellIs" dxfId="358" priority="512" operator="between">
      <formula>0.1251</formula>
      <formula>0.19</formula>
    </cfRule>
    <cfRule type="cellIs" dxfId="357" priority="513" operator="greaterThan">
      <formula>0.2601</formula>
    </cfRule>
    <cfRule type="cellIs" dxfId="356" priority="514" operator="between">
      <formula>0.2401</formula>
      <formula>0.26</formula>
    </cfRule>
    <cfRule type="cellIs" dxfId="355" priority="515" stopIfTrue="1" operator="between">
      <formula>0</formula>
      <formula>0.125</formula>
    </cfRule>
  </conditionalFormatting>
  <conditionalFormatting sqref="F14">
    <cfRule type="cellIs" dxfId="354" priority="506" operator="between">
      <formula>0.191</formula>
      <formula>0.24</formula>
    </cfRule>
    <cfRule type="cellIs" dxfId="353" priority="507" operator="between">
      <formula>0.1251</formula>
      <formula>0.19</formula>
    </cfRule>
    <cfRule type="cellIs" dxfId="352" priority="508" operator="greaterThan">
      <formula>0.2601</formula>
    </cfRule>
    <cfRule type="cellIs" dxfId="351" priority="509" operator="between">
      <formula>0.2401</formula>
      <formula>0.26</formula>
    </cfRule>
    <cfRule type="cellIs" dxfId="350" priority="510" stopIfTrue="1" operator="between">
      <formula>0</formula>
      <formula>0.125</formula>
    </cfRule>
  </conditionalFormatting>
  <conditionalFormatting sqref="F11">
    <cfRule type="cellIs" dxfId="349" priority="411" operator="between">
      <formula>0.1901</formula>
      <formula>0.24</formula>
    </cfRule>
    <cfRule type="cellIs" dxfId="348" priority="412" operator="between">
      <formula>0.1251</formula>
      <formula>0.19</formula>
    </cfRule>
    <cfRule type="cellIs" dxfId="347" priority="413" operator="greaterThan">
      <formula>0.2601</formula>
    </cfRule>
    <cfRule type="cellIs" dxfId="346" priority="414" operator="between">
      <formula>0.2401</formula>
      <formula>0.26</formula>
    </cfRule>
    <cfRule type="cellIs" dxfId="345" priority="415" stopIfTrue="1" operator="between">
      <formula>0</formula>
      <formula>0.125</formula>
    </cfRule>
  </conditionalFormatting>
  <conditionalFormatting sqref="D10">
    <cfRule type="cellIs" dxfId="344" priority="316" operator="between">
      <formula>0.751</formula>
      <formula>0.95</formula>
    </cfRule>
    <cfRule type="cellIs" dxfId="343" priority="317" operator="between">
      <formula>0.51</formula>
      <formula>0.75</formula>
    </cfRule>
    <cfRule type="cellIs" dxfId="342" priority="318" operator="greaterThan">
      <formula>1</formula>
    </cfRule>
    <cfRule type="cellIs" dxfId="341" priority="319" operator="between">
      <formula>0.95</formula>
      <formula>1</formula>
    </cfRule>
    <cfRule type="cellIs" dxfId="340" priority="320" operator="between">
      <formula>0</formula>
      <formula>0.5</formula>
    </cfRule>
  </conditionalFormatting>
  <conditionalFormatting sqref="D6">
    <cfRule type="cellIs" dxfId="339" priority="311" operator="between">
      <formula>0.751</formula>
      <formula>0.95</formula>
    </cfRule>
    <cfRule type="cellIs" dxfId="338" priority="312" operator="between">
      <formula>0.51</formula>
      <formula>0.75</formula>
    </cfRule>
    <cfRule type="cellIs" dxfId="337" priority="313" operator="greaterThan">
      <formula>1</formula>
    </cfRule>
    <cfRule type="cellIs" dxfId="336" priority="314" operator="between">
      <formula>0.95</formula>
      <formula>1</formula>
    </cfRule>
    <cfRule type="cellIs" dxfId="335" priority="315" operator="between">
      <formula>0</formula>
      <formula>0.5</formula>
    </cfRule>
  </conditionalFormatting>
  <conditionalFormatting sqref="D7">
    <cfRule type="cellIs" dxfId="334" priority="306" operator="between">
      <formula>0.751</formula>
      <formula>0.95</formula>
    </cfRule>
    <cfRule type="cellIs" dxfId="333" priority="307" operator="between">
      <formula>0.51</formula>
      <formula>0.75</formula>
    </cfRule>
    <cfRule type="cellIs" dxfId="332" priority="308" operator="greaterThan">
      <formula>1</formula>
    </cfRule>
    <cfRule type="cellIs" dxfId="331" priority="309" operator="between">
      <formula>0.95</formula>
      <formula>1</formula>
    </cfRule>
    <cfRule type="cellIs" dxfId="330" priority="310" operator="between">
      <formula>0</formula>
      <formula>0.5</formula>
    </cfRule>
  </conditionalFormatting>
  <conditionalFormatting sqref="D8">
    <cfRule type="cellIs" dxfId="329" priority="301" operator="between">
      <formula>0.751</formula>
      <formula>0.95</formula>
    </cfRule>
    <cfRule type="cellIs" dxfId="328" priority="302" operator="between">
      <formula>0.51</formula>
      <formula>0.75</formula>
    </cfRule>
    <cfRule type="cellIs" dxfId="327" priority="303" operator="greaterThan">
      <formula>1</formula>
    </cfRule>
    <cfRule type="cellIs" dxfId="326" priority="304" operator="between">
      <formula>0.95</formula>
      <formula>1</formula>
    </cfRule>
    <cfRule type="cellIs" dxfId="325" priority="305" operator="between">
      <formula>0</formula>
      <formula>0.5</formula>
    </cfRule>
  </conditionalFormatting>
  <conditionalFormatting sqref="D9">
    <cfRule type="cellIs" dxfId="324" priority="296" operator="between">
      <formula>0.751</formula>
      <formula>0.95</formula>
    </cfRule>
    <cfRule type="cellIs" dxfId="323" priority="297" operator="between">
      <formula>0.51</formula>
      <formula>0.75</formula>
    </cfRule>
    <cfRule type="cellIs" dxfId="322" priority="298" operator="greaterThan">
      <formula>1</formula>
    </cfRule>
    <cfRule type="cellIs" dxfId="321" priority="299" operator="between">
      <formula>0.95</formula>
      <formula>1</formula>
    </cfRule>
    <cfRule type="cellIs" dxfId="320" priority="300" operator="between">
      <formula>0</formula>
      <formula>0.5</formula>
    </cfRule>
  </conditionalFormatting>
  <conditionalFormatting sqref="D11">
    <cfRule type="cellIs" dxfId="319" priority="291" operator="between">
      <formula>0.751</formula>
      <formula>0.95</formula>
    </cfRule>
    <cfRule type="cellIs" dxfId="318" priority="292" operator="between">
      <formula>0.51</formula>
      <formula>0.75</formula>
    </cfRule>
    <cfRule type="cellIs" dxfId="317" priority="293" operator="greaterThan">
      <formula>1</formula>
    </cfRule>
    <cfRule type="cellIs" dxfId="316" priority="294" operator="between">
      <formula>0.95</formula>
      <formula>1</formula>
    </cfRule>
    <cfRule type="cellIs" dxfId="315" priority="295" operator="between">
      <formula>0</formula>
      <formula>0.5</formula>
    </cfRule>
  </conditionalFormatting>
  <conditionalFormatting sqref="D12">
    <cfRule type="cellIs" dxfId="314" priority="286" operator="between">
      <formula>0.751</formula>
      <formula>0.95</formula>
    </cfRule>
    <cfRule type="cellIs" dxfId="313" priority="287" operator="between">
      <formula>0.51</formula>
      <formula>0.75</formula>
    </cfRule>
    <cfRule type="cellIs" dxfId="312" priority="288" operator="greaterThan">
      <formula>1</formula>
    </cfRule>
    <cfRule type="cellIs" dxfId="311" priority="289" operator="between">
      <formula>0.95</formula>
      <formula>1</formula>
    </cfRule>
    <cfRule type="cellIs" dxfId="310" priority="290" operator="between">
      <formula>0</formula>
      <formula>0.5</formula>
    </cfRule>
  </conditionalFormatting>
  <conditionalFormatting sqref="D13">
    <cfRule type="cellIs" dxfId="309" priority="281" operator="between">
      <formula>0.751</formula>
      <formula>0.95</formula>
    </cfRule>
    <cfRule type="cellIs" dxfId="308" priority="282" operator="between">
      <formula>0.51</formula>
      <formula>0.75</formula>
    </cfRule>
    <cfRule type="cellIs" dxfId="307" priority="283" operator="greaterThan">
      <formula>1</formula>
    </cfRule>
    <cfRule type="cellIs" dxfId="306" priority="284" operator="between">
      <formula>0.95</formula>
      <formula>1</formula>
    </cfRule>
    <cfRule type="cellIs" dxfId="305" priority="285" operator="between">
      <formula>0</formula>
      <formula>0.5</formula>
    </cfRule>
  </conditionalFormatting>
  <conditionalFormatting sqref="D14">
    <cfRule type="cellIs" dxfId="304" priority="276" operator="between">
      <formula>0.751</formula>
      <formula>0.95</formula>
    </cfRule>
    <cfRule type="cellIs" dxfId="303" priority="277" operator="between">
      <formula>0.51</formula>
      <formula>0.75</formula>
    </cfRule>
    <cfRule type="cellIs" dxfId="302" priority="278" operator="greaterThan">
      <formula>1</formula>
    </cfRule>
    <cfRule type="cellIs" dxfId="301" priority="279" operator="between">
      <formula>0.95</formula>
      <formula>1</formula>
    </cfRule>
    <cfRule type="cellIs" dxfId="300" priority="280" operator="between">
      <formula>0</formula>
      <formula>0.5</formula>
    </cfRule>
  </conditionalFormatting>
  <conditionalFormatting sqref="I6">
    <cfRule type="cellIs" dxfId="299" priority="271" operator="between">
      <formula>0.76</formula>
      <formula>0.95</formula>
    </cfRule>
    <cfRule type="cellIs" dxfId="298" priority="272" operator="between">
      <formula>0.51</formula>
      <formula>0.75</formula>
    </cfRule>
    <cfRule type="cellIs" dxfId="297" priority="273" operator="greaterThan">
      <formula>1</formula>
    </cfRule>
    <cfRule type="cellIs" dxfId="296" priority="274" operator="between">
      <formula>0.95</formula>
      <formula>1</formula>
    </cfRule>
    <cfRule type="cellIs" dxfId="295" priority="275" stopIfTrue="1" operator="between">
      <formula>0</formula>
      <formula>0.5</formula>
    </cfRule>
  </conditionalFormatting>
  <conditionalFormatting sqref="I7">
    <cfRule type="cellIs" dxfId="294" priority="266" operator="between">
      <formula>0.76</formula>
      <formula>0.95</formula>
    </cfRule>
    <cfRule type="cellIs" dxfId="293" priority="267" operator="between">
      <formula>0.51</formula>
      <formula>0.75</formula>
    </cfRule>
    <cfRule type="cellIs" dxfId="292" priority="268" operator="greaterThan">
      <formula>1</formula>
    </cfRule>
    <cfRule type="cellIs" dxfId="291" priority="269" operator="between">
      <formula>0.95</formula>
      <formula>1</formula>
    </cfRule>
    <cfRule type="cellIs" dxfId="290" priority="270" stopIfTrue="1" operator="between">
      <formula>0</formula>
      <formula>0.5</formula>
    </cfRule>
  </conditionalFormatting>
  <conditionalFormatting sqref="I8">
    <cfRule type="cellIs" dxfId="289" priority="261" operator="between">
      <formula>0.76</formula>
      <formula>0.95</formula>
    </cfRule>
    <cfRule type="cellIs" dxfId="288" priority="262" operator="between">
      <formula>0.51</formula>
      <formula>0.75</formula>
    </cfRule>
    <cfRule type="cellIs" dxfId="287" priority="263" operator="greaterThan">
      <formula>1</formula>
    </cfRule>
    <cfRule type="cellIs" dxfId="286" priority="264" operator="between">
      <formula>0.95</formula>
      <formula>1</formula>
    </cfRule>
    <cfRule type="cellIs" dxfId="285" priority="265" stopIfTrue="1" operator="between">
      <formula>0</formula>
      <formula>0.5</formula>
    </cfRule>
  </conditionalFormatting>
  <conditionalFormatting sqref="I9">
    <cfRule type="cellIs" dxfId="284" priority="256" operator="between">
      <formula>0.76</formula>
      <formula>0.95</formula>
    </cfRule>
    <cfRule type="cellIs" dxfId="283" priority="257" operator="between">
      <formula>0.51</formula>
      <formula>0.75</formula>
    </cfRule>
    <cfRule type="cellIs" dxfId="282" priority="258" operator="greaterThan">
      <formula>1</formula>
    </cfRule>
    <cfRule type="cellIs" dxfId="281" priority="259" operator="between">
      <formula>0.95</formula>
      <formula>1</formula>
    </cfRule>
    <cfRule type="cellIs" dxfId="280" priority="260" stopIfTrue="1" operator="between">
      <formula>0</formula>
      <formula>0.5</formula>
    </cfRule>
  </conditionalFormatting>
  <conditionalFormatting sqref="I10">
    <cfRule type="cellIs" dxfId="279" priority="251" operator="between">
      <formula>0.76</formula>
      <formula>0.95</formula>
    </cfRule>
    <cfRule type="cellIs" dxfId="278" priority="252" operator="between">
      <formula>0.51</formula>
      <formula>0.75</formula>
    </cfRule>
    <cfRule type="cellIs" dxfId="277" priority="253" operator="greaterThan">
      <formula>1</formula>
    </cfRule>
    <cfRule type="cellIs" dxfId="276" priority="254" operator="between">
      <formula>0.95</formula>
      <formula>1</formula>
    </cfRule>
    <cfRule type="cellIs" dxfId="275" priority="255" stopIfTrue="1" operator="between">
      <formula>0</formula>
      <formula>0.5</formula>
    </cfRule>
  </conditionalFormatting>
  <conditionalFormatting sqref="I11">
    <cfRule type="cellIs" dxfId="274" priority="246" operator="between">
      <formula>0.76</formula>
      <formula>0.95</formula>
    </cfRule>
    <cfRule type="cellIs" dxfId="273" priority="247" operator="between">
      <formula>0.51</formula>
      <formula>0.75</formula>
    </cfRule>
    <cfRule type="cellIs" dxfId="272" priority="248" operator="greaterThan">
      <formula>1</formula>
    </cfRule>
    <cfRule type="cellIs" dxfId="271" priority="249" operator="between">
      <formula>0.95</formula>
      <formula>1</formula>
    </cfRule>
    <cfRule type="cellIs" dxfId="270" priority="250" stopIfTrue="1" operator="between">
      <formula>0</formula>
      <formula>0.5</formula>
    </cfRule>
  </conditionalFormatting>
  <conditionalFormatting sqref="I12">
    <cfRule type="cellIs" dxfId="269" priority="241" operator="between">
      <formula>0.76</formula>
      <formula>0.95</formula>
    </cfRule>
    <cfRule type="cellIs" dxfId="268" priority="242" operator="between">
      <formula>0.51</formula>
      <formula>0.75</formula>
    </cfRule>
    <cfRule type="cellIs" dxfId="267" priority="243" operator="greaterThan">
      <formula>1</formula>
    </cfRule>
    <cfRule type="cellIs" dxfId="266" priority="244" operator="between">
      <formula>0.95</formula>
      <formula>1</formula>
    </cfRule>
    <cfRule type="cellIs" dxfId="265" priority="245" stopIfTrue="1" operator="between">
      <formula>0</formula>
      <formula>0.5</formula>
    </cfRule>
  </conditionalFormatting>
  <conditionalFormatting sqref="I13">
    <cfRule type="cellIs" dxfId="264" priority="236" operator="between">
      <formula>0.76</formula>
      <formula>0.95</formula>
    </cfRule>
    <cfRule type="cellIs" dxfId="263" priority="237" operator="between">
      <formula>0.51</formula>
      <formula>0.75</formula>
    </cfRule>
    <cfRule type="cellIs" dxfId="262" priority="238" operator="greaterThan">
      <formula>1</formula>
    </cfRule>
    <cfRule type="cellIs" dxfId="261" priority="239" operator="between">
      <formula>0.95</formula>
      <formula>1</formula>
    </cfRule>
    <cfRule type="cellIs" dxfId="260" priority="240" stopIfTrue="1" operator="between">
      <formula>0</formula>
      <formula>0.5</formula>
    </cfRule>
  </conditionalFormatting>
  <conditionalFormatting sqref="I14">
    <cfRule type="cellIs" dxfId="259" priority="231" operator="between">
      <formula>0.76</formula>
      <formula>0.95</formula>
    </cfRule>
    <cfRule type="cellIs" dxfId="258" priority="232" operator="between">
      <formula>0.51</formula>
      <formula>0.75</formula>
    </cfRule>
    <cfRule type="cellIs" dxfId="257" priority="233" operator="greaterThan">
      <formula>1</formula>
    </cfRule>
    <cfRule type="cellIs" dxfId="256" priority="234" operator="between">
      <formula>0.95</formula>
      <formula>1</formula>
    </cfRule>
    <cfRule type="cellIs" dxfId="255" priority="235" stopIfTrue="1" operator="between">
      <formula>0</formula>
      <formula>0.5</formula>
    </cfRule>
  </conditionalFormatting>
  <conditionalFormatting sqref="N6">
    <cfRule type="cellIs" dxfId="254" priority="226" operator="between">
      <formula>0.76</formula>
      <formula>0.95</formula>
    </cfRule>
    <cfRule type="cellIs" dxfId="253" priority="227" operator="between">
      <formula>0.51</formula>
      <formula>0.75</formula>
    </cfRule>
    <cfRule type="cellIs" dxfId="252" priority="228" operator="greaterThan">
      <formula>1</formula>
    </cfRule>
    <cfRule type="cellIs" dxfId="251" priority="229" operator="between">
      <formula>0.95</formula>
      <formula>1</formula>
    </cfRule>
    <cfRule type="cellIs" dxfId="250" priority="230" stopIfTrue="1" operator="between">
      <formula>0</formula>
      <formula>0.5</formula>
    </cfRule>
  </conditionalFormatting>
  <conditionalFormatting sqref="N7">
    <cfRule type="cellIs" dxfId="249" priority="221" operator="between">
      <formula>0.76</formula>
      <formula>0.95</formula>
    </cfRule>
    <cfRule type="cellIs" dxfId="248" priority="222" operator="between">
      <formula>0.51</formula>
      <formula>0.75</formula>
    </cfRule>
    <cfRule type="cellIs" dxfId="247" priority="223" operator="greaterThan">
      <formula>1</formula>
    </cfRule>
    <cfRule type="cellIs" dxfId="246" priority="224" operator="between">
      <formula>0.95</formula>
      <formula>1</formula>
    </cfRule>
    <cfRule type="cellIs" dxfId="245" priority="225" stopIfTrue="1" operator="between">
      <formula>0</formula>
      <formula>0.5</formula>
    </cfRule>
  </conditionalFormatting>
  <conditionalFormatting sqref="N8">
    <cfRule type="cellIs" dxfId="244" priority="216" operator="between">
      <formula>0.76</formula>
      <formula>0.95</formula>
    </cfRule>
    <cfRule type="cellIs" dxfId="243" priority="217" operator="between">
      <formula>0.51</formula>
      <formula>0.75</formula>
    </cfRule>
    <cfRule type="cellIs" dxfId="242" priority="218" operator="greaterThan">
      <formula>1</formula>
    </cfRule>
    <cfRule type="cellIs" dxfId="241" priority="219" operator="between">
      <formula>0.95</formula>
      <formula>1</formula>
    </cfRule>
    <cfRule type="cellIs" dxfId="240" priority="220" stopIfTrue="1" operator="between">
      <formula>0</formula>
      <formula>0.5</formula>
    </cfRule>
  </conditionalFormatting>
  <conditionalFormatting sqref="N9">
    <cfRule type="cellIs" dxfId="239" priority="211" operator="between">
      <formula>0.76</formula>
      <formula>0.95</formula>
    </cfRule>
    <cfRule type="cellIs" dxfId="238" priority="212" operator="between">
      <formula>0.51</formula>
      <formula>0.75</formula>
    </cfRule>
    <cfRule type="cellIs" dxfId="237" priority="213" operator="greaterThan">
      <formula>1</formula>
    </cfRule>
    <cfRule type="cellIs" dxfId="236" priority="214" operator="between">
      <formula>0.95</formula>
      <formula>1</formula>
    </cfRule>
    <cfRule type="cellIs" dxfId="235" priority="215" stopIfTrue="1" operator="between">
      <formula>0</formula>
      <formula>0.5</formula>
    </cfRule>
  </conditionalFormatting>
  <conditionalFormatting sqref="N10">
    <cfRule type="cellIs" dxfId="234" priority="206" operator="between">
      <formula>0.76</formula>
      <formula>0.95</formula>
    </cfRule>
    <cfRule type="cellIs" dxfId="233" priority="207" operator="between">
      <formula>0.51</formula>
      <formula>0.75</formula>
    </cfRule>
    <cfRule type="cellIs" dxfId="232" priority="208" operator="greaterThan">
      <formula>1</formula>
    </cfRule>
    <cfRule type="cellIs" dxfId="231" priority="209" operator="between">
      <formula>0.95</formula>
      <formula>1</formula>
    </cfRule>
    <cfRule type="cellIs" dxfId="230" priority="210" stopIfTrue="1" operator="between">
      <formula>0</formula>
      <formula>0.5</formula>
    </cfRule>
  </conditionalFormatting>
  <conditionalFormatting sqref="N11">
    <cfRule type="cellIs" dxfId="229" priority="201" operator="between">
      <formula>0.76</formula>
      <formula>0.95</formula>
    </cfRule>
    <cfRule type="cellIs" dxfId="228" priority="202" operator="between">
      <formula>0.51</formula>
      <formula>0.75</formula>
    </cfRule>
    <cfRule type="cellIs" dxfId="227" priority="203" operator="greaterThan">
      <formula>1</formula>
    </cfRule>
    <cfRule type="cellIs" dxfId="226" priority="204" operator="between">
      <formula>0.95</formula>
      <formula>1</formula>
    </cfRule>
    <cfRule type="cellIs" dxfId="225" priority="205" stopIfTrue="1" operator="between">
      <formula>0</formula>
      <formula>0.5</formula>
    </cfRule>
  </conditionalFormatting>
  <conditionalFormatting sqref="N12">
    <cfRule type="cellIs" dxfId="224" priority="196" operator="between">
      <formula>0.76</formula>
      <formula>0.95</formula>
    </cfRule>
    <cfRule type="cellIs" dxfId="223" priority="197" operator="between">
      <formula>0.51</formula>
      <formula>0.75</formula>
    </cfRule>
    <cfRule type="cellIs" dxfId="222" priority="198" operator="greaterThan">
      <formula>1</formula>
    </cfRule>
    <cfRule type="cellIs" dxfId="221" priority="199" operator="between">
      <formula>0.95</formula>
      <formula>1</formula>
    </cfRule>
    <cfRule type="cellIs" dxfId="220" priority="200" stopIfTrue="1" operator="between">
      <formula>0</formula>
      <formula>0.5</formula>
    </cfRule>
  </conditionalFormatting>
  <conditionalFormatting sqref="N13">
    <cfRule type="cellIs" dxfId="219" priority="191" operator="between">
      <formula>0.76</formula>
      <formula>0.95</formula>
    </cfRule>
    <cfRule type="cellIs" dxfId="218" priority="192" operator="between">
      <formula>0.51</formula>
      <formula>0.75</formula>
    </cfRule>
    <cfRule type="cellIs" dxfId="217" priority="193" operator="greaterThan">
      <formula>1</formula>
    </cfRule>
    <cfRule type="cellIs" dxfId="216" priority="194" operator="between">
      <formula>0.95</formula>
      <formula>1</formula>
    </cfRule>
    <cfRule type="cellIs" dxfId="215" priority="195" stopIfTrue="1" operator="between">
      <formula>0</formula>
      <formula>0.5</formula>
    </cfRule>
  </conditionalFormatting>
  <conditionalFormatting sqref="N14">
    <cfRule type="cellIs" dxfId="214" priority="186" operator="between">
      <formula>0.76</formula>
      <formula>0.95</formula>
    </cfRule>
    <cfRule type="cellIs" dxfId="213" priority="187" operator="between">
      <formula>0.51</formula>
      <formula>0.75</formula>
    </cfRule>
    <cfRule type="cellIs" dxfId="212" priority="188" operator="greaterThan">
      <formula>1</formula>
    </cfRule>
    <cfRule type="cellIs" dxfId="211" priority="189" operator="between">
      <formula>0.95</formula>
      <formula>1</formula>
    </cfRule>
    <cfRule type="cellIs" dxfId="210" priority="190" stopIfTrue="1" operator="between">
      <formula>0</formula>
      <formula>0.5</formula>
    </cfRule>
  </conditionalFormatting>
  <conditionalFormatting sqref="S6">
    <cfRule type="cellIs" dxfId="209" priority="181" operator="between">
      <formula>0.76</formula>
      <formula>0.95</formula>
    </cfRule>
    <cfRule type="cellIs" dxfId="208" priority="182" operator="between">
      <formula>0.51</formula>
      <formula>0.75</formula>
    </cfRule>
    <cfRule type="cellIs" dxfId="207" priority="183" operator="greaterThan">
      <formula>1</formula>
    </cfRule>
    <cfRule type="cellIs" dxfId="206" priority="184" operator="between">
      <formula>0.95</formula>
      <formula>1</formula>
    </cfRule>
    <cfRule type="cellIs" dxfId="205" priority="185" stopIfTrue="1" operator="between">
      <formula>0</formula>
      <formula>0.5</formula>
    </cfRule>
  </conditionalFormatting>
  <conditionalFormatting sqref="S7">
    <cfRule type="cellIs" dxfId="204" priority="176" operator="between">
      <formula>0.76</formula>
      <formula>0.95</formula>
    </cfRule>
    <cfRule type="cellIs" dxfId="203" priority="177" operator="between">
      <formula>0.51</formula>
      <formula>0.75</formula>
    </cfRule>
    <cfRule type="cellIs" dxfId="202" priority="178" operator="greaterThan">
      <formula>1</formula>
    </cfRule>
    <cfRule type="cellIs" dxfId="201" priority="179" operator="between">
      <formula>0.95</formula>
      <formula>1</formula>
    </cfRule>
    <cfRule type="cellIs" dxfId="200" priority="180" stopIfTrue="1" operator="between">
      <formula>0</formula>
      <formula>0.5</formula>
    </cfRule>
  </conditionalFormatting>
  <conditionalFormatting sqref="S8">
    <cfRule type="cellIs" dxfId="199" priority="171" operator="between">
      <formula>0.76</formula>
      <formula>0.95</formula>
    </cfRule>
    <cfRule type="cellIs" dxfId="198" priority="172" operator="between">
      <formula>0.51</formula>
      <formula>0.75</formula>
    </cfRule>
    <cfRule type="cellIs" dxfId="197" priority="173" operator="greaterThan">
      <formula>1</formula>
    </cfRule>
    <cfRule type="cellIs" dxfId="196" priority="174" operator="between">
      <formula>0.95</formula>
      <formula>1</formula>
    </cfRule>
    <cfRule type="cellIs" dxfId="195" priority="175" stopIfTrue="1" operator="between">
      <formula>0</formula>
      <formula>0.5</formula>
    </cfRule>
  </conditionalFormatting>
  <conditionalFormatting sqref="S9">
    <cfRule type="cellIs" dxfId="194" priority="166" operator="between">
      <formula>0.76</formula>
      <formula>0.95</formula>
    </cfRule>
    <cfRule type="cellIs" dxfId="193" priority="167" operator="between">
      <formula>0.51</formula>
      <formula>0.75</formula>
    </cfRule>
    <cfRule type="cellIs" dxfId="192" priority="168" operator="greaterThan">
      <formula>1</formula>
    </cfRule>
    <cfRule type="cellIs" dxfId="191" priority="169" operator="between">
      <formula>0.95</formula>
      <formula>1</formula>
    </cfRule>
    <cfRule type="cellIs" dxfId="190" priority="170" stopIfTrue="1" operator="between">
      <formula>0</formula>
      <formula>0.5</formula>
    </cfRule>
  </conditionalFormatting>
  <conditionalFormatting sqref="S10">
    <cfRule type="cellIs" dxfId="189" priority="161" operator="between">
      <formula>0.76</formula>
      <formula>0.95</formula>
    </cfRule>
    <cfRule type="cellIs" dxfId="188" priority="162" operator="between">
      <formula>0.51</formula>
      <formula>0.75</formula>
    </cfRule>
    <cfRule type="cellIs" dxfId="187" priority="163" operator="greaterThan">
      <formula>1</formula>
    </cfRule>
    <cfRule type="cellIs" dxfId="186" priority="164" operator="between">
      <formula>0.95</formula>
      <formula>1</formula>
    </cfRule>
    <cfRule type="cellIs" dxfId="185" priority="165" stopIfTrue="1" operator="between">
      <formula>0</formula>
      <formula>0.5</formula>
    </cfRule>
  </conditionalFormatting>
  <conditionalFormatting sqref="S11">
    <cfRule type="cellIs" dxfId="184" priority="156" operator="between">
      <formula>0.76</formula>
      <formula>0.95</formula>
    </cfRule>
    <cfRule type="cellIs" dxfId="183" priority="157" operator="between">
      <formula>0.51</formula>
      <formula>0.75</formula>
    </cfRule>
    <cfRule type="cellIs" dxfId="182" priority="158" operator="greaterThan">
      <formula>1</formula>
    </cfRule>
    <cfRule type="cellIs" dxfId="181" priority="159" operator="between">
      <formula>0.95</formula>
      <formula>1</formula>
    </cfRule>
    <cfRule type="cellIs" dxfId="180" priority="160" stopIfTrue="1" operator="between">
      <formula>0</formula>
      <formula>0.5</formula>
    </cfRule>
  </conditionalFormatting>
  <conditionalFormatting sqref="S12">
    <cfRule type="cellIs" dxfId="179" priority="151" operator="between">
      <formula>0.76</formula>
      <formula>0.95</formula>
    </cfRule>
    <cfRule type="cellIs" dxfId="178" priority="152" operator="between">
      <formula>0.51</formula>
      <formula>0.75</formula>
    </cfRule>
    <cfRule type="cellIs" dxfId="177" priority="153" operator="greaterThan">
      <formula>1</formula>
    </cfRule>
    <cfRule type="cellIs" dxfId="176" priority="154" operator="between">
      <formula>0.95</formula>
      <formula>1</formula>
    </cfRule>
    <cfRule type="cellIs" dxfId="175" priority="155" stopIfTrue="1" operator="between">
      <formula>0</formula>
      <formula>0.5</formula>
    </cfRule>
  </conditionalFormatting>
  <conditionalFormatting sqref="S13">
    <cfRule type="cellIs" dxfId="174" priority="146" operator="between">
      <formula>0.76</formula>
      <formula>0.95</formula>
    </cfRule>
    <cfRule type="cellIs" dxfId="173" priority="147" operator="between">
      <formula>0.51</formula>
      <formula>0.75</formula>
    </cfRule>
    <cfRule type="cellIs" dxfId="172" priority="148" operator="greaterThan">
      <formula>1</formula>
    </cfRule>
    <cfRule type="cellIs" dxfId="171" priority="149" operator="between">
      <formula>0.95</formula>
      <formula>1</formula>
    </cfRule>
    <cfRule type="cellIs" dxfId="170" priority="150" stopIfTrue="1" operator="between">
      <formula>0</formula>
      <formula>0.5</formula>
    </cfRule>
  </conditionalFormatting>
  <conditionalFormatting sqref="S14">
    <cfRule type="cellIs" dxfId="169" priority="141" operator="between">
      <formula>0.76</formula>
      <formula>0.95</formula>
    </cfRule>
    <cfRule type="cellIs" dxfId="168" priority="142" operator="between">
      <formula>0.51</formula>
      <formula>0.75</formula>
    </cfRule>
    <cfRule type="cellIs" dxfId="167" priority="143" operator="greaterThan">
      <formula>1</formula>
    </cfRule>
    <cfRule type="cellIs" dxfId="166" priority="144" operator="between">
      <formula>0.95</formula>
      <formula>1</formula>
    </cfRule>
    <cfRule type="cellIs" dxfId="165" priority="145" stopIfTrue="1" operator="between">
      <formula>0</formula>
      <formula>0.5</formula>
    </cfRule>
  </conditionalFormatting>
  <conditionalFormatting sqref="K6">
    <cfRule type="cellIs" dxfId="164" priority="136" operator="between">
      <formula>0.38</formula>
      <formula>0.475</formula>
    </cfRule>
    <cfRule type="cellIs" dxfId="163" priority="137" operator="between">
      <formula>0.2551</formula>
      <formula>0.375</formula>
    </cfRule>
    <cfRule type="cellIs" dxfId="162" priority="138" operator="greaterThan">
      <formula>0.505</formula>
    </cfRule>
    <cfRule type="cellIs" dxfId="161" priority="139" operator="between">
      <formula>0.48</formula>
      <formula>0.51</formula>
    </cfRule>
    <cfRule type="cellIs" dxfId="160" priority="140" stopIfTrue="1" operator="between">
      <formula>0</formula>
      <formula>0.255</formula>
    </cfRule>
  </conditionalFormatting>
  <conditionalFormatting sqref="K7">
    <cfRule type="cellIs" dxfId="159" priority="131" operator="between">
      <formula>0.38</formula>
      <formula>0.475</formula>
    </cfRule>
    <cfRule type="cellIs" dxfId="158" priority="132" operator="between">
      <formula>0.2551</formula>
      <formula>0.375</formula>
    </cfRule>
    <cfRule type="cellIs" dxfId="157" priority="133" operator="greaterThan">
      <formula>0.505</formula>
    </cfRule>
    <cfRule type="cellIs" dxfId="156" priority="134" operator="between">
      <formula>0.48</formula>
      <formula>0.51</formula>
    </cfRule>
    <cfRule type="cellIs" dxfId="155" priority="135" stopIfTrue="1" operator="between">
      <formula>0</formula>
      <formula>0.255</formula>
    </cfRule>
  </conditionalFormatting>
  <conditionalFormatting sqref="K8">
    <cfRule type="cellIs" dxfId="154" priority="126" operator="between">
      <formula>0.38</formula>
      <formula>0.475</formula>
    </cfRule>
    <cfRule type="cellIs" dxfId="153" priority="127" operator="between">
      <formula>0.2551</formula>
      <formula>0.375</formula>
    </cfRule>
    <cfRule type="cellIs" dxfId="152" priority="128" operator="greaterThan">
      <formula>0.505</formula>
    </cfRule>
    <cfRule type="cellIs" dxfId="151" priority="129" operator="between">
      <formula>0.48</formula>
      <formula>0.51</formula>
    </cfRule>
    <cfRule type="cellIs" dxfId="150" priority="130" stopIfTrue="1" operator="between">
      <formula>0</formula>
      <formula>0.255</formula>
    </cfRule>
  </conditionalFormatting>
  <conditionalFormatting sqref="K9">
    <cfRule type="cellIs" dxfId="149" priority="121" operator="between">
      <formula>0.38</formula>
      <formula>0.475</formula>
    </cfRule>
    <cfRule type="cellIs" dxfId="148" priority="122" operator="between">
      <formula>0.2551</formula>
      <formula>0.375</formula>
    </cfRule>
    <cfRule type="cellIs" dxfId="147" priority="123" operator="greaterThan">
      <formula>0.505</formula>
    </cfRule>
    <cfRule type="cellIs" dxfId="146" priority="124" operator="between">
      <formula>0.48</formula>
      <formula>0.51</formula>
    </cfRule>
    <cfRule type="cellIs" dxfId="145" priority="125" stopIfTrue="1" operator="between">
      <formula>0</formula>
      <formula>0.255</formula>
    </cfRule>
  </conditionalFormatting>
  <conditionalFormatting sqref="K10">
    <cfRule type="cellIs" dxfId="144" priority="116" operator="between">
      <formula>0.38</formula>
      <formula>0.475</formula>
    </cfRule>
    <cfRule type="cellIs" dxfId="143" priority="117" operator="between">
      <formula>0.2551</formula>
      <formula>0.375</formula>
    </cfRule>
    <cfRule type="cellIs" dxfId="142" priority="118" operator="greaterThan">
      <formula>0.505</formula>
    </cfRule>
    <cfRule type="cellIs" dxfId="141" priority="119" operator="between">
      <formula>0.48</formula>
      <formula>0.51</formula>
    </cfRule>
    <cfRule type="cellIs" dxfId="140" priority="120" stopIfTrue="1" operator="between">
      <formula>0</formula>
      <formula>0.255</formula>
    </cfRule>
  </conditionalFormatting>
  <conditionalFormatting sqref="K11">
    <cfRule type="cellIs" dxfId="139" priority="111" operator="between">
      <formula>0.38</formula>
      <formula>0.475</formula>
    </cfRule>
    <cfRule type="cellIs" dxfId="138" priority="112" operator="between">
      <formula>0.2551</formula>
      <formula>0.375</formula>
    </cfRule>
    <cfRule type="cellIs" dxfId="137" priority="113" operator="greaterThan">
      <formula>0.505</formula>
    </cfRule>
    <cfRule type="cellIs" dxfId="136" priority="114" operator="between">
      <formula>0.48</formula>
      <formula>0.51</formula>
    </cfRule>
    <cfRule type="cellIs" dxfId="135" priority="115" stopIfTrue="1" operator="between">
      <formula>0</formula>
      <formula>0.255</formula>
    </cfRule>
  </conditionalFormatting>
  <conditionalFormatting sqref="K12">
    <cfRule type="cellIs" dxfId="134" priority="106" operator="between">
      <formula>0.38</formula>
      <formula>0.475</formula>
    </cfRule>
    <cfRule type="cellIs" dxfId="133" priority="107" operator="between">
      <formula>0.2551</formula>
      <formula>0.375</formula>
    </cfRule>
    <cfRule type="cellIs" dxfId="132" priority="108" operator="greaterThan">
      <formula>0.505</formula>
    </cfRule>
    <cfRule type="cellIs" dxfId="131" priority="109" operator="between">
      <formula>0.48</formula>
      <formula>0.51</formula>
    </cfRule>
    <cfRule type="cellIs" dxfId="130" priority="110" stopIfTrue="1" operator="between">
      <formula>0</formula>
      <formula>0.255</formula>
    </cfRule>
  </conditionalFormatting>
  <conditionalFormatting sqref="K13">
    <cfRule type="cellIs" dxfId="129" priority="101" operator="between">
      <formula>0.38</formula>
      <formula>0.475</formula>
    </cfRule>
    <cfRule type="cellIs" dxfId="128" priority="102" operator="between">
      <formula>0.2551</formula>
      <formula>0.375</formula>
    </cfRule>
    <cfRule type="cellIs" dxfId="127" priority="103" operator="greaterThan">
      <formula>0.505</formula>
    </cfRule>
    <cfRule type="cellIs" dxfId="126" priority="104" operator="between">
      <formula>0.48</formula>
      <formula>0.51</formula>
    </cfRule>
    <cfRule type="cellIs" dxfId="125" priority="105" stopIfTrue="1" operator="between">
      <formula>0</formula>
      <formula>0.255</formula>
    </cfRule>
  </conditionalFormatting>
  <conditionalFormatting sqref="K14">
    <cfRule type="cellIs" dxfId="124" priority="96" operator="between">
      <formula>0.38</formula>
      <formula>0.475</formula>
    </cfRule>
    <cfRule type="cellIs" dxfId="123" priority="97" operator="between">
      <formula>0.2551</formula>
      <formula>0.375</formula>
    </cfRule>
    <cfRule type="cellIs" dxfId="122" priority="98" operator="greaterThan">
      <formula>0.505</formula>
    </cfRule>
    <cfRule type="cellIs" dxfId="121" priority="99" operator="between">
      <formula>0.48</formula>
      <formula>0.51</formula>
    </cfRule>
    <cfRule type="cellIs" dxfId="120" priority="100" stopIfTrue="1" operator="between">
      <formula>0</formula>
      <formula>0.255</formula>
    </cfRule>
  </conditionalFormatting>
  <conditionalFormatting sqref="P6">
    <cfRule type="cellIs" dxfId="119" priority="91" operator="between">
      <formula>0.563</formula>
      <formula>0.7125</formula>
    </cfRule>
    <cfRule type="cellIs" dxfId="118" priority="92" operator="between">
      <formula>0.3751</formula>
      <formula>0.5625</formula>
    </cfRule>
    <cfRule type="cellIs" dxfId="117" priority="93" operator="greaterThan">
      <formula>0.755</formula>
    </cfRule>
    <cfRule type="cellIs" dxfId="116" priority="94" operator="between">
      <formula>0.713</formula>
      <formula>75</formula>
    </cfRule>
    <cfRule type="cellIs" dxfId="115" priority="95" stopIfTrue="1" operator="between">
      <formula>0</formula>
      <formula>0.375</formula>
    </cfRule>
  </conditionalFormatting>
  <conditionalFormatting sqref="P7">
    <cfRule type="cellIs" dxfId="114" priority="86" operator="between">
      <formula>0.563</formula>
      <formula>0.7125</formula>
    </cfRule>
    <cfRule type="cellIs" dxfId="113" priority="87" operator="between">
      <formula>0.3751</formula>
      <formula>0.5625</formula>
    </cfRule>
    <cfRule type="cellIs" dxfId="112" priority="88" operator="greaterThan">
      <formula>0.755</formula>
    </cfRule>
    <cfRule type="cellIs" dxfId="111" priority="89" operator="between">
      <formula>0.713</formula>
      <formula>75</formula>
    </cfRule>
    <cfRule type="cellIs" dxfId="110" priority="90" stopIfTrue="1" operator="between">
      <formula>0</formula>
      <formula>0.375</formula>
    </cfRule>
  </conditionalFormatting>
  <conditionalFormatting sqref="P8">
    <cfRule type="cellIs" dxfId="109" priority="81" operator="between">
      <formula>0.563</formula>
      <formula>0.7125</formula>
    </cfRule>
    <cfRule type="cellIs" dxfId="108" priority="82" operator="between">
      <formula>0.3751</formula>
      <formula>0.5625</formula>
    </cfRule>
    <cfRule type="cellIs" dxfId="107" priority="83" operator="greaterThan">
      <formula>0.755</formula>
    </cfRule>
    <cfRule type="cellIs" dxfId="106" priority="84" operator="between">
      <formula>0.713</formula>
      <formula>75</formula>
    </cfRule>
    <cfRule type="cellIs" dxfId="105" priority="85" stopIfTrue="1" operator="between">
      <formula>0</formula>
      <formula>0.375</formula>
    </cfRule>
  </conditionalFormatting>
  <conditionalFormatting sqref="P9">
    <cfRule type="cellIs" dxfId="104" priority="76" operator="between">
      <formula>0.563</formula>
      <formula>0.7125</formula>
    </cfRule>
    <cfRule type="cellIs" dxfId="103" priority="77" operator="between">
      <formula>0.3751</formula>
      <formula>0.5625</formula>
    </cfRule>
    <cfRule type="cellIs" dxfId="102" priority="78" operator="greaterThan">
      <formula>0.755</formula>
    </cfRule>
    <cfRule type="cellIs" dxfId="101" priority="79" operator="between">
      <formula>0.713</formula>
      <formula>75</formula>
    </cfRule>
    <cfRule type="cellIs" dxfId="100" priority="80" stopIfTrue="1" operator="between">
      <formula>0</formula>
      <formula>0.375</formula>
    </cfRule>
  </conditionalFormatting>
  <conditionalFormatting sqref="P10">
    <cfRule type="cellIs" dxfId="99" priority="71" operator="between">
      <formula>0.563</formula>
      <formula>0.7125</formula>
    </cfRule>
    <cfRule type="cellIs" dxfId="98" priority="72" operator="between">
      <formula>0.3751</formula>
      <formula>0.5625</formula>
    </cfRule>
    <cfRule type="cellIs" dxfId="97" priority="73" operator="greaterThan">
      <formula>0.755</formula>
    </cfRule>
    <cfRule type="cellIs" dxfId="96" priority="74" operator="between">
      <formula>0.713</formula>
      <formula>75</formula>
    </cfRule>
    <cfRule type="cellIs" dxfId="95" priority="75" stopIfTrue="1" operator="between">
      <formula>0</formula>
      <formula>0.375</formula>
    </cfRule>
  </conditionalFormatting>
  <conditionalFormatting sqref="P11">
    <cfRule type="cellIs" dxfId="94" priority="66" operator="between">
      <formula>0.563</formula>
      <formula>0.7125</formula>
    </cfRule>
    <cfRule type="cellIs" dxfId="93" priority="67" operator="between">
      <formula>0.3751</formula>
      <formula>0.5625</formula>
    </cfRule>
    <cfRule type="cellIs" dxfId="92" priority="68" operator="greaterThan">
      <formula>0.755</formula>
    </cfRule>
    <cfRule type="cellIs" dxfId="91" priority="69" operator="between">
      <formula>0.713</formula>
      <formula>75</formula>
    </cfRule>
    <cfRule type="cellIs" dxfId="90" priority="70" stopIfTrue="1" operator="between">
      <formula>0</formula>
      <formula>0.375</formula>
    </cfRule>
  </conditionalFormatting>
  <conditionalFormatting sqref="P12">
    <cfRule type="cellIs" dxfId="89" priority="61" operator="between">
      <formula>0.563</formula>
      <formula>0.7125</formula>
    </cfRule>
    <cfRule type="cellIs" dxfId="88" priority="62" operator="between">
      <formula>0.3751</formula>
      <formula>0.5625</formula>
    </cfRule>
    <cfRule type="cellIs" dxfId="87" priority="63" operator="greaterThan">
      <formula>0.755</formula>
    </cfRule>
    <cfRule type="cellIs" dxfId="86" priority="64" operator="between">
      <formula>0.713</formula>
      <formula>75</formula>
    </cfRule>
    <cfRule type="cellIs" dxfId="85" priority="65" stopIfTrue="1" operator="between">
      <formula>0</formula>
      <formula>0.375</formula>
    </cfRule>
  </conditionalFormatting>
  <conditionalFormatting sqref="P13">
    <cfRule type="cellIs" dxfId="84" priority="56" operator="between">
      <formula>0.563</formula>
      <formula>0.7125</formula>
    </cfRule>
    <cfRule type="cellIs" dxfId="83" priority="57" operator="between">
      <formula>0.3751</formula>
      <formula>0.5625</formula>
    </cfRule>
    <cfRule type="cellIs" dxfId="82" priority="58" operator="greaterThan">
      <formula>0.755</formula>
    </cfRule>
    <cfRule type="cellIs" dxfId="81" priority="59" operator="between">
      <formula>0.713</formula>
      <formula>75</formula>
    </cfRule>
    <cfRule type="cellIs" dxfId="80" priority="60" stopIfTrue="1" operator="between">
      <formula>0</formula>
      <formula>0.375</formula>
    </cfRule>
  </conditionalFormatting>
  <conditionalFormatting sqref="P14">
    <cfRule type="cellIs" dxfId="79" priority="51" operator="between">
      <formula>0.563</formula>
      <formula>0.7125</formula>
    </cfRule>
    <cfRule type="cellIs" dxfId="78" priority="52" operator="between">
      <formula>0.3751</formula>
      <formula>0.5625</formula>
    </cfRule>
    <cfRule type="cellIs" dxfId="77" priority="53" operator="greaterThan">
      <formula>0.755</formula>
    </cfRule>
    <cfRule type="cellIs" dxfId="76" priority="54" operator="between">
      <formula>0.713</formula>
      <formula>75</formula>
    </cfRule>
    <cfRule type="cellIs" dxfId="75" priority="55" stopIfTrue="1" operator="between">
      <formula>0</formula>
      <formula>0.375</formula>
    </cfRule>
  </conditionalFormatting>
  <conditionalFormatting sqref="U14">
    <cfRule type="cellIs" dxfId="74" priority="1" operator="between">
      <formula>0.76</formula>
      <formula>0.95</formula>
    </cfRule>
    <cfRule type="cellIs" dxfId="73" priority="2" operator="between">
      <formula>0.51</formula>
      <formula>0.75</formula>
    </cfRule>
    <cfRule type="cellIs" dxfId="72" priority="3" operator="greaterThan">
      <formula>1</formula>
    </cfRule>
    <cfRule type="cellIs" dxfId="71" priority="4" operator="between">
      <formula>0.95</formula>
      <formula>1</formula>
    </cfRule>
    <cfRule type="cellIs" dxfId="70" priority="5" stopIfTrue="1" operator="between">
      <formula>0</formula>
      <formula>0.5</formula>
    </cfRule>
  </conditionalFormatting>
  <conditionalFormatting sqref="U6">
    <cfRule type="cellIs" dxfId="69" priority="41" operator="between">
      <formula>0.76</formula>
      <formula>0.95</formula>
    </cfRule>
    <cfRule type="cellIs" dxfId="68" priority="42" operator="between">
      <formula>0.51</formula>
      <formula>0.75</formula>
    </cfRule>
    <cfRule type="cellIs" dxfId="67" priority="43" operator="greaterThan">
      <formula>1</formula>
    </cfRule>
    <cfRule type="cellIs" dxfId="66" priority="44" operator="between">
      <formula>0.95</formula>
      <formula>1</formula>
    </cfRule>
    <cfRule type="cellIs" dxfId="65" priority="45" stopIfTrue="1" operator="between">
      <formula>0</formula>
      <formula>0.5</formula>
    </cfRule>
  </conditionalFormatting>
  <conditionalFormatting sqref="U7">
    <cfRule type="cellIs" dxfId="64" priority="36" operator="between">
      <formula>0.76</formula>
      <formula>0.95</formula>
    </cfRule>
    <cfRule type="cellIs" dxfId="63" priority="37" operator="between">
      <formula>0.51</formula>
      <formula>0.75</formula>
    </cfRule>
    <cfRule type="cellIs" dxfId="62" priority="38" operator="greaterThan">
      <formula>1</formula>
    </cfRule>
    <cfRule type="cellIs" dxfId="61" priority="39" operator="between">
      <formula>0.95</formula>
      <formula>1</formula>
    </cfRule>
    <cfRule type="cellIs" dxfId="60" priority="40" stopIfTrue="1" operator="between">
      <formula>0</formula>
      <formula>0.5</formula>
    </cfRule>
  </conditionalFormatting>
  <conditionalFormatting sqref="U8">
    <cfRule type="cellIs" dxfId="59" priority="31" operator="between">
      <formula>0.76</formula>
      <formula>0.95</formula>
    </cfRule>
    <cfRule type="cellIs" dxfId="58" priority="32" operator="between">
      <formula>0.51</formula>
      <formula>0.75</formula>
    </cfRule>
    <cfRule type="cellIs" dxfId="57" priority="33" operator="greaterThan">
      <formula>1</formula>
    </cfRule>
    <cfRule type="cellIs" dxfId="56" priority="34" operator="between">
      <formula>0.95</formula>
      <formula>1</formula>
    </cfRule>
    <cfRule type="cellIs" dxfId="55" priority="35" stopIfTrue="1" operator="between">
      <formula>0</formula>
      <formula>0.5</formula>
    </cfRule>
  </conditionalFormatting>
  <conditionalFormatting sqref="U9">
    <cfRule type="cellIs" dxfId="54" priority="26" operator="between">
      <formula>0.76</formula>
      <formula>0.95</formula>
    </cfRule>
    <cfRule type="cellIs" dxfId="53" priority="27" operator="between">
      <formula>0.51</formula>
      <formula>0.75</formula>
    </cfRule>
    <cfRule type="cellIs" dxfId="52" priority="28" operator="greaterThan">
      <formula>1</formula>
    </cfRule>
    <cfRule type="cellIs" dxfId="51" priority="29" operator="between">
      <formula>0.95</formula>
      <formula>1</formula>
    </cfRule>
    <cfRule type="cellIs" dxfId="50" priority="30" stopIfTrue="1" operator="between">
      <formula>0</formula>
      <formula>0.5</formula>
    </cfRule>
  </conditionalFormatting>
  <conditionalFormatting sqref="U10">
    <cfRule type="cellIs" dxfId="49" priority="21" operator="between">
      <formula>0.76</formula>
      <formula>0.95</formula>
    </cfRule>
    <cfRule type="cellIs" dxfId="48" priority="22" operator="between">
      <formula>0.51</formula>
      <formula>0.75</formula>
    </cfRule>
    <cfRule type="cellIs" dxfId="47" priority="23" operator="greaterThan">
      <formula>1</formula>
    </cfRule>
    <cfRule type="cellIs" dxfId="46" priority="24" operator="between">
      <formula>0.95</formula>
      <formula>1</formula>
    </cfRule>
    <cfRule type="cellIs" dxfId="45" priority="25" stopIfTrue="1" operator="between">
      <formula>0</formula>
      <formula>0.5</formula>
    </cfRule>
  </conditionalFormatting>
  <conditionalFormatting sqref="U11">
    <cfRule type="cellIs" dxfId="44" priority="16" operator="between">
      <formula>0.76</formula>
      <formula>0.95</formula>
    </cfRule>
    <cfRule type="cellIs" dxfId="43" priority="17" operator="between">
      <formula>0.51</formula>
      <formula>0.75</formula>
    </cfRule>
    <cfRule type="cellIs" dxfId="42" priority="18" operator="greaterThan">
      <formula>1</formula>
    </cfRule>
    <cfRule type="cellIs" dxfId="41" priority="19" operator="between">
      <formula>0.95</formula>
      <formula>1</formula>
    </cfRule>
    <cfRule type="cellIs" dxfId="40" priority="20" stopIfTrue="1" operator="between">
      <formula>0</formula>
      <formula>0.5</formula>
    </cfRule>
  </conditionalFormatting>
  <conditionalFormatting sqref="U12">
    <cfRule type="cellIs" dxfId="39" priority="11" operator="between">
      <formula>0.76</formula>
      <formula>0.95</formula>
    </cfRule>
    <cfRule type="cellIs" dxfId="38" priority="12" operator="between">
      <formula>0.51</formula>
      <formula>0.75</formula>
    </cfRule>
    <cfRule type="cellIs" dxfId="37" priority="13" operator="greaterThan">
      <formula>1</formula>
    </cfRule>
    <cfRule type="cellIs" dxfId="36" priority="14" operator="between">
      <formula>0.95</formula>
      <formula>1</formula>
    </cfRule>
    <cfRule type="cellIs" dxfId="35" priority="15" stopIfTrue="1" operator="between">
      <formula>0</formula>
      <formula>0.5</formula>
    </cfRule>
  </conditionalFormatting>
  <conditionalFormatting sqref="U13">
    <cfRule type="cellIs" dxfId="34" priority="6" operator="between">
      <formula>0.76</formula>
      <formula>0.95</formula>
    </cfRule>
    <cfRule type="cellIs" dxfId="33" priority="7" operator="between">
      <formula>0.51</formula>
      <formula>0.75</formula>
    </cfRule>
    <cfRule type="cellIs" dxfId="32" priority="8" operator="greaterThan">
      <formula>1</formula>
    </cfRule>
    <cfRule type="cellIs" dxfId="31" priority="9" operator="between">
      <formula>0.95</formula>
      <formula>1</formula>
    </cfRule>
    <cfRule type="cellIs" dxfId="30" priority="10" stopIfTrue="1" operator="between">
      <formula>0</formula>
      <formula>0.5</formula>
    </cfRule>
  </conditionalFormatting>
  <pageMargins left="0.70866141732283472" right="0.70866141732283472" top="0.74803149606299213" bottom="0.74803149606299213" header="0.31496062992125984" footer="0.31496062992125984"/>
  <pageSetup scale="11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C6" sqref="C6"/>
    </sheetView>
  </sheetViews>
  <sheetFormatPr baseColWidth="10" defaultRowHeight="15" x14ac:dyDescent="0.25"/>
  <cols>
    <col min="2" max="2" width="11.85546875" bestFit="1" customWidth="1"/>
    <col min="3" max="3" width="32.42578125" customWidth="1"/>
    <col min="4" max="4" width="23.85546875" customWidth="1"/>
    <col min="5" max="5" width="18.85546875" customWidth="1"/>
    <col min="6" max="6" width="19.42578125" customWidth="1"/>
    <col min="7" max="7" width="18.28515625" customWidth="1"/>
  </cols>
  <sheetData>
    <row r="2" spans="1:7" x14ac:dyDescent="0.25">
      <c r="A2" s="929" t="s">
        <v>976</v>
      </c>
      <c r="B2" s="929"/>
      <c r="C2" s="929"/>
      <c r="D2" s="929"/>
      <c r="E2" s="929"/>
      <c r="F2" s="929"/>
      <c r="G2" s="929"/>
    </row>
    <row r="3" spans="1:7" x14ac:dyDescent="0.25">
      <c r="A3" s="486"/>
      <c r="B3" s="486"/>
      <c r="C3" s="486"/>
      <c r="D3" s="486"/>
      <c r="E3" s="486"/>
      <c r="F3" s="486"/>
      <c r="G3" s="486"/>
    </row>
    <row r="4" spans="1:7" x14ac:dyDescent="0.25">
      <c r="A4" s="487" t="s">
        <v>977</v>
      </c>
      <c r="B4" s="487" t="s">
        <v>978</v>
      </c>
      <c r="C4" s="487" t="s">
        <v>979</v>
      </c>
      <c r="D4" s="487" t="s">
        <v>983</v>
      </c>
      <c r="E4" s="487" t="s">
        <v>980</v>
      </c>
      <c r="F4" s="487" t="s">
        <v>981</v>
      </c>
      <c r="G4" s="487" t="s">
        <v>982</v>
      </c>
    </row>
    <row r="5" spans="1:7" ht="25.5" x14ac:dyDescent="0.25">
      <c r="A5" s="492">
        <v>1</v>
      </c>
      <c r="B5" s="490">
        <v>43131</v>
      </c>
      <c r="C5" s="489" t="s">
        <v>984</v>
      </c>
      <c r="D5" s="489" t="s">
        <v>987</v>
      </c>
      <c r="E5" s="491" t="s">
        <v>985</v>
      </c>
      <c r="F5" s="489" t="s">
        <v>986</v>
      </c>
      <c r="G5" s="489" t="s">
        <v>986</v>
      </c>
    </row>
    <row r="6" spans="1:7" ht="409.5" x14ac:dyDescent="0.25">
      <c r="A6" s="492">
        <v>2</v>
      </c>
      <c r="B6" s="490">
        <v>43242</v>
      </c>
      <c r="C6" s="491" t="s">
        <v>1017</v>
      </c>
      <c r="D6" s="489" t="s">
        <v>993</v>
      </c>
      <c r="E6" s="491" t="s">
        <v>988</v>
      </c>
      <c r="F6" s="491" t="s">
        <v>992</v>
      </c>
      <c r="G6" s="491" t="s">
        <v>990</v>
      </c>
    </row>
    <row r="7" spans="1:7" x14ac:dyDescent="0.25">
      <c r="A7" s="488"/>
      <c r="B7" s="488"/>
      <c r="C7" s="488"/>
      <c r="D7" s="488"/>
      <c r="E7" s="488"/>
      <c r="F7" s="488"/>
      <c r="G7" s="488"/>
    </row>
    <row r="8" spans="1:7" x14ac:dyDescent="0.25">
      <c r="A8" s="488"/>
      <c r="B8" s="488"/>
      <c r="C8" s="488"/>
      <c r="D8" s="488"/>
      <c r="E8" s="488"/>
      <c r="F8" s="488"/>
      <c r="G8" s="488"/>
    </row>
    <row r="9" spans="1:7" x14ac:dyDescent="0.25">
      <c r="A9" s="488"/>
      <c r="B9" s="488"/>
      <c r="C9" s="488"/>
      <c r="D9" s="488"/>
      <c r="E9" s="488"/>
      <c r="F9" s="488"/>
      <c r="G9" s="488"/>
    </row>
    <row r="10" spans="1:7" x14ac:dyDescent="0.25">
      <c r="A10" s="488"/>
      <c r="B10" s="488"/>
      <c r="C10" s="488"/>
      <c r="D10" s="488"/>
      <c r="E10" s="488"/>
      <c r="F10" s="488"/>
      <c r="G10" s="488"/>
    </row>
    <row r="11" spans="1:7" x14ac:dyDescent="0.25">
      <c r="A11" s="488"/>
      <c r="B11" s="488"/>
      <c r="C11" s="488"/>
      <c r="D11" s="488"/>
      <c r="E11" s="488"/>
      <c r="F11" s="488"/>
      <c r="G11" s="488"/>
    </row>
    <row r="12" spans="1:7" x14ac:dyDescent="0.25">
      <c r="A12" s="488"/>
      <c r="B12" s="488"/>
      <c r="C12" s="488"/>
      <c r="D12" s="488"/>
      <c r="E12" s="488"/>
      <c r="F12" s="488"/>
      <c r="G12" s="488"/>
    </row>
    <row r="13" spans="1:7" x14ac:dyDescent="0.25">
      <c r="A13" s="488"/>
      <c r="B13" s="488"/>
      <c r="C13" s="488"/>
      <c r="D13" s="488"/>
      <c r="E13" s="488"/>
      <c r="F13" s="488"/>
      <c r="G13" s="488"/>
    </row>
  </sheetData>
  <mergeCells count="1">
    <mergeCell ref="A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167"/>
  <sheetViews>
    <sheetView showGridLines="0" zoomScale="60" zoomScaleNormal="60" workbookViewId="0">
      <pane ySplit="7" topLeftCell="A8" activePane="bottomLeft" state="frozen"/>
      <selection pane="bottomLeft" activeCell="H9" sqref="H9"/>
    </sheetView>
  </sheetViews>
  <sheetFormatPr baseColWidth="10" defaultRowHeight="15" x14ac:dyDescent="0.25"/>
  <cols>
    <col min="1" max="1" width="23.28515625" bestFit="1" customWidth="1"/>
    <col min="2" max="2" width="35.5703125" customWidth="1"/>
    <col min="3" max="3" width="16.5703125" customWidth="1"/>
    <col min="4" max="4" width="40.5703125" customWidth="1"/>
    <col min="5" max="5" width="12.85546875" customWidth="1"/>
    <col min="6" max="6" width="35.7109375" customWidth="1"/>
    <col min="7" max="7" width="12.85546875" style="160" customWidth="1"/>
    <col min="8" max="8" width="12.140625" customWidth="1"/>
    <col min="9" max="9" width="14.5703125" bestFit="1" customWidth="1"/>
    <col min="10" max="10" width="35.7109375" customWidth="1"/>
    <col min="11" max="11" width="26.85546875" customWidth="1"/>
    <col min="12" max="12" width="17.28515625" customWidth="1"/>
    <col min="13" max="13" width="21.42578125" customWidth="1"/>
    <col min="14" max="14" width="23.7109375" customWidth="1"/>
    <col min="15" max="15" width="25.7109375" customWidth="1"/>
    <col min="16" max="16" width="35" customWidth="1"/>
    <col min="17" max="17" width="19.140625" customWidth="1"/>
    <col min="18" max="18" width="31" customWidth="1"/>
    <col min="19" max="19" width="28.28515625" customWidth="1"/>
    <col min="20" max="20" width="12.140625" customWidth="1"/>
    <col min="21" max="21" width="35.7109375" customWidth="1"/>
    <col min="22" max="22" width="27.7109375" customWidth="1"/>
    <col min="23" max="23" width="21.140625" customWidth="1"/>
    <col min="24" max="24" width="13.85546875" style="146" hidden="1" customWidth="1"/>
    <col min="25" max="25" width="35.7109375" style="146" hidden="1" customWidth="1"/>
    <col min="26" max="26" width="27.7109375" style="146" hidden="1" customWidth="1"/>
    <col min="27" max="27" width="13.5703125" style="146" hidden="1" customWidth="1"/>
    <col min="28" max="28" width="27.7109375" style="146" hidden="1" customWidth="1"/>
    <col min="29" max="29" width="11.42578125" style="146" hidden="1" customWidth="1"/>
    <col min="30" max="30" width="15.7109375" style="146" hidden="1" customWidth="1"/>
    <col min="31" max="31" width="11.42578125" style="146" hidden="1" customWidth="1"/>
    <col min="32" max="32" width="15.7109375" style="146" hidden="1" customWidth="1"/>
    <col min="33" max="33" width="13.7109375" style="146" hidden="1" customWidth="1"/>
    <col min="34" max="34" width="35.7109375" style="146" hidden="1" customWidth="1"/>
    <col min="35" max="35" width="27.7109375" style="146" hidden="1" customWidth="1"/>
    <col min="36" max="36" width="17.140625" style="146" hidden="1" customWidth="1"/>
    <col min="37" max="37" width="27.7109375" style="146" hidden="1" customWidth="1"/>
    <col min="38" max="38" width="13.7109375" style="146" hidden="1" customWidth="1"/>
    <col min="39" max="39" width="15.7109375" style="146" hidden="1" customWidth="1"/>
    <col min="40" max="40" width="13.7109375" style="146" hidden="1" customWidth="1"/>
    <col min="41" max="41" width="15.7109375" style="146" hidden="1" customWidth="1"/>
    <col min="42" max="42" width="13.7109375" style="146" hidden="1" customWidth="1"/>
    <col min="43" max="43" width="35.7109375" style="146" hidden="1" customWidth="1"/>
    <col min="44" max="44" width="27.7109375" style="146" hidden="1" customWidth="1"/>
    <col min="45" max="45" width="18" style="146" hidden="1" customWidth="1"/>
    <col min="46" max="46" width="27.7109375" style="146" hidden="1" customWidth="1"/>
    <col min="47" max="47" width="13.7109375" style="146" hidden="1" customWidth="1"/>
    <col min="48" max="48" width="15.7109375" style="146" hidden="1" customWidth="1"/>
    <col min="49" max="49" width="13.7109375" style="146" hidden="1" customWidth="1"/>
    <col min="50" max="50" width="15.7109375" style="146" hidden="1" customWidth="1"/>
    <col min="51" max="51" width="13.7109375" style="146" hidden="1" customWidth="1"/>
    <col min="52" max="52" width="35.7109375" style="146" hidden="1" customWidth="1"/>
    <col min="53" max="53" width="27.7109375" style="146" hidden="1" customWidth="1"/>
    <col min="54" max="54" width="13.7109375" style="146" hidden="1" customWidth="1"/>
    <col min="55" max="55" width="27.7109375" style="146" hidden="1" customWidth="1"/>
    <col min="56" max="56" width="13.7109375" style="146" hidden="1" customWidth="1"/>
    <col min="57" max="57" width="15.7109375" style="146" hidden="1" customWidth="1"/>
    <col min="58" max="58" width="13.7109375" style="146" hidden="1" customWidth="1"/>
    <col min="59" max="59" width="15.7109375" style="146" hidden="1" customWidth="1"/>
    <col min="60" max="60" width="13.7109375" style="146" hidden="1" customWidth="1"/>
    <col min="61" max="61" width="15.7109375" style="146" hidden="1" customWidth="1"/>
    <col min="62" max="62" width="13.7109375" style="146" hidden="1" customWidth="1"/>
    <col min="63" max="63" width="15.7109375" style="146" hidden="1" customWidth="1"/>
    <col min="64" max="64" width="13.7109375" style="146" hidden="1" customWidth="1"/>
    <col min="65" max="65" width="15.7109375" style="146" hidden="1" customWidth="1"/>
    <col min="66" max="66" width="13.7109375" style="146" hidden="1" customWidth="1"/>
    <col min="67" max="67" width="15.7109375" style="146" hidden="1" customWidth="1"/>
    <col min="68" max="68" width="40.85546875" style="146" hidden="1" customWidth="1"/>
    <col min="69" max="69" width="16.5703125" style="146" customWidth="1"/>
    <col min="70" max="70" width="15.28515625" style="146" customWidth="1"/>
    <col min="71" max="71" width="35.7109375" style="146" customWidth="1"/>
    <col min="72" max="72" width="28" style="146" customWidth="1"/>
    <col min="73" max="73" width="17.85546875" style="146" customWidth="1"/>
    <col min="74" max="74" width="29.140625" style="146" customWidth="1"/>
    <col min="75" max="75" width="14.140625" style="146" customWidth="1"/>
    <col min="76" max="77" width="16.140625" style="146" customWidth="1"/>
    <col min="78" max="78" width="15" style="146" customWidth="1"/>
    <col min="79" max="16384" width="11.42578125" style="146"/>
  </cols>
  <sheetData>
    <row r="1" spans="1:235" x14ac:dyDescent="0.25">
      <c r="J1" s="146"/>
      <c r="K1" s="147"/>
      <c r="L1" s="146"/>
      <c r="M1" s="148"/>
      <c r="N1" s="149"/>
      <c r="O1" s="150"/>
      <c r="P1" s="147"/>
    </row>
    <row r="2" spans="1:235" x14ac:dyDescent="0.25">
      <c r="J2" s="146"/>
      <c r="K2" s="147"/>
      <c r="L2" s="147"/>
      <c r="M2" s="151"/>
      <c r="N2" s="151"/>
      <c r="O2" s="151"/>
      <c r="P2" s="146"/>
    </row>
    <row r="3" spans="1:235" ht="15.75" x14ac:dyDescent="0.25">
      <c r="D3" s="178" t="s">
        <v>126</v>
      </c>
      <c r="E3" s="178"/>
      <c r="F3" s="178"/>
      <c r="G3" s="178"/>
      <c r="H3" s="178"/>
      <c r="I3" s="178"/>
      <c r="J3" s="178"/>
      <c r="K3" s="178"/>
      <c r="L3" s="178"/>
      <c r="M3" s="178"/>
      <c r="N3" s="146"/>
      <c r="O3" s="147"/>
      <c r="P3" s="146"/>
    </row>
    <row r="4" spans="1:235" ht="15.75" x14ac:dyDescent="0.25">
      <c r="D4" s="178" t="s">
        <v>125</v>
      </c>
      <c r="E4" s="178"/>
      <c r="F4" s="178"/>
      <c r="G4" s="178"/>
      <c r="H4" s="178"/>
      <c r="I4" s="178"/>
      <c r="J4" s="178"/>
      <c r="K4" s="178"/>
      <c r="L4" s="178"/>
      <c r="M4" s="178"/>
    </row>
    <row r="5" spans="1:235" ht="16.5" thickBot="1" x14ac:dyDescent="0.3">
      <c r="D5" s="731" t="s">
        <v>766</v>
      </c>
      <c r="E5" s="731"/>
      <c r="F5" s="731"/>
      <c r="G5" s="731"/>
      <c r="H5" s="731"/>
      <c r="I5" s="731"/>
      <c r="J5" s="731"/>
      <c r="K5" s="731"/>
      <c r="L5" s="731"/>
      <c r="M5" s="731"/>
      <c r="O5" s="48"/>
    </row>
    <row r="6" spans="1:235" ht="16.5" thickBot="1" x14ac:dyDescent="0.3">
      <c r="A6" s="173"/>
      <c r="B6" s="173"/>
      <c r="C6" s="173"/>
      <c r="D6" s="275"/>
      <c r="E6" s="275"/>
      <c r="F6" s="275"/>
      <c r="G6" s="276"/>
      <c r="H6" s="275"/>
      <c r="I6" s="275"/>
      <c r="J6" s="275"/>
      <c r="K6" s="275"/>
      <c r="L6" s="275"/>
      <c r="M6" s="275"/>
      <c r="N6" s="264"/>
      <c r="O6" s="173"/>
      <c r="P6" s="173"/>
      <c r="Q6" s="173"/>
      <c r="R6" s="173"/>
      <c r="S6" s="173"/>
      <c r="T6" s="173"/>
      <c r="U6" s="173"/>
      <c r="V6" s="173"/>
      <c r="W6" s="173"/>
      <c r="X6" s="986" t="s">
        <v>771</v>
      </c>
      <c r="Y6" s="987"/>
      <c r="Z6" s="987"/>
      <c r="AA6" s="987"/>
      <c r="AB6" s="987"/>
      <c r="AC6" s="987"/>
      <c r="AD6" s="987"/>
      <c r="AE6" s="987"/>
      <c r="AF6" s="988"/>
      <c r="AG6" s="989" t="s">
        <v>773</v>
      </c>
      <c r="AH6" s="990"/>
      <c r="AI6" s="990"/>
      <c r="AJ6" s="990"/>
      <c r="AK6" s="990"/>
      <c r="AL6" s="990"/>
      <c r="AM6" s="990"/>
      <c r="AN6" s="990"/>
      <c r="AO6" s="991"/>
      <c r="AP6" s="986" t="s">
        <v>772</v>
      </c>
      <c r="AQ6" s="987"/>
      <c r="AR6" s="987"/>
      <c r="AS6" s="987"/>
      <c r="AT6" s="987"/>
      <c r="AU6" s="987"/>
      <c r="AV6" s="987"/>
      <c r="AW6" s="987"/>
      <c r="AX6" s="988"/>
      <c r="AY6" s="989" t="s">
        <v>774</v>
      </c>
      <c r="AZ6" s="990"/>
      <c r="BA6" s="990"/>
      <c r="BB6" s="990"/>
      <c r="BC6" s="990"/>
      <c r="BD6" s="990"/>
      <c r="BE6" s="990"/>
      <c r="BF6" s="990"/>
      <c r="BG6" s="991"/>
      <c r="BH6" s="702" t="s">
        <v>775</v>
      </c>
      <c r="BI6" s="703"/>
      <c r="BJ6" s="703"/>
      <c r="BK6" s="703"/>
      <c r="BL6" s="703"/>
      <c r="BM6" s="703"/>
      <c r="BN6" s="703"/>
      <c r="BO6" s="704"/>
      <c r="BP6" s="265"/>
      <c r="BQ6" s="265"/>
      <c r="BR6" s="699" t="s">
        <v>853</v>
      </c>
      <c r="BS6" s="700"/>
      <c r="BT6" s="700"/>
      <c r="BU6" s="700"/>
      <c r="BV6" s="700"/>
      <c r="BW6" s="700"/>
      <c r="BX6" s="700"/>
      <c r="BY6" s="700"/>
      <c r="BZ6" s="701"/>
    </row>
    <row r="7" spans="1:235" ht="36.75" thickBot="1" x14ac:dyDescent="0.3">
      <c r="A7" s="166" t="s">
        <v>80</v>
      </c>
      <c r="B7" s="167" t="s">
        <v>81</v>
      </c>
      <c r="C7" s="167" t="s">
        <v>142</v>
      </c>
      <c r="D7" s="167" t="s">
        <v>141</v>
      </c>
      <c r="E7" s="167" t="s">
        <v>82</v>
      </c>
      <c r="F7" s="167" t="s">
        <v>119</v>
      </c>
      <c r="G7" s="167" t="s">
        <v>86</v>
      </c>
      <c r="H7" s="167" t="s">
        <v>16</v>
      </c>
      <c r="I7" s="167" t="s">
        <v>83</v>
      </c>
      <c r="J7" s="167" t="s">
        <v>120</v>
      </c>
      <c r="K7" s="167" t="s">
        <v>569</v>
      </c>
      <c r="L7" s="167" t="s">
        <v>12</v>
      </c>
      <c r="M7" s="167" t="s">
        <v>88</v>
      </c>
      <c r="N7" s="167" t="s">
        <v>87</v>
      </c>
      <c r="O7" s="167" t="s">
        <v>90</v>
      </c>
      <c r="P7" s="167" t="s">
        <v>91</v>
      </c>
      <c r="Q7" s="167" t="s">
        <v>13</v>
      </c>
      <c r="R7" s="167" t="s">
        <v>0</v>
      </c>
      <c r="S7" s="167" t="s">
        <v>85</v>
      </c>
      <c r="T7" s="167" t="s">
        <v>16</v>
      </c>
      <c r="U7" s="168" t="s">
        <v>768</v>
      </c>
      <c r="V7" s="168" t="s">
        <v>569</v>
      </c>
      <c r="W7" s="169" t="s">
        <v>17</v>
      </c>
      <c r="X7" s="167" t="s">
        <v>16</v>
      </c>
      <c r="Y7" s="167" t="s">
        <v>120</v>
      </c>
      <c r="Z7" s="167" t="s">
        <v>569</v>
      </c>
      <c r="AA7" s="167" t="s">
        <v>16</v>
      </c>
      <c r="AB7" s="167" t="s">
        <v>569</v>
      </c>
      <c r="AC7" s="167" t="s">
        <v>15</v>
      </c>
      <c r="AD7" s="167" t="s">
        <v>20</v>
      </c>
      <c r="AE7" s="167" t="s">
        <v>15</v>
      </c>
      <c r="AF7" s="167" t="s">
        <v>20</v>
      </c>
      <c r="AG7" s="167" t="s">
        <v>16</v>
      </c>
      <c r="AH7" s="167" t="s">
        <v>120</v>
      </c>
      <c r="AI7" s="167" t="s">
        <v>569</v>
      </c>
      <c r="AJ7" s="167" t="s">
        <v>16</v>
      </c>
      <c r="AK7" s="167" t="s">
        <v>569</v>
      </c>
      <c r="AL7" s="167" t="s">
        <v>15</v>
      </c>
      <c r="AM7" s="167" t="s">
        <v>20</v>
      </c>
      <c r="AN7" s="167" t="s">
        <v>15</v>
      </c>
      <c r="AO7" s="167" t="s">
        <v>20</v>
      </c>
      <c r="AP7" s="167" t="s">
        <v>16</v>
      </c>
      <c r="AQ7" s="167" t="s">
        <v>120</v>
      </c>
      <c r="AR7" s="167" t="s">
        <v>569</v>
      </c>
      <c r="AS7" s="167" t="s">
        <v>16</v>
      </c>
      <c r="AT7" s="167" t="s">
        <v>569</v>
      </c>
      <c r="AU7" s="167" t="s">
        <v>15</v>
      </c>
      <c r="AV7" s="167" t="s">
        <v>20</v>
      </c>
      <c r="AW7" s="167" t="s">
        <v>15</v>
      </c>
      <c r="AX7" s="167" t="s">
        <v>20</v>
      </c>
      <c r="AY7" s="167" t="s">
        <v>16</v>
      </c>
      <c r="AZ7" s="167" t="s">
        <v>120</v>
      </c>
      <c r="BA7" s="167" t="s">
        <v>569</v>
      </c>
      <c r="BB7" s="167" t="s">
        <v>16</v>
      </c>
      <c r="BC7" s="167" t="s">
        <v>569</v>
      </c>
      <c r="BD7" s="167" t="s">
        <v>15</v>
      </c>
      <c r="BE7" s="167" t="s">
        <v>20</v>
      </c>
      <c r="BF7" s="167" t="s">
        <v>15</v>
      </c>
      <c r="BG7" s="167" t="s">
        <v>20</v>
      </c>
      <c r="BH7" s="167" t="s">
        <v>15</v>
      </c>
      <c r="BI7" s="167" t="s">
        <v>20</v>
      </c>
      <c r="BJ7" s="167" t="s">
        <v>15</v>
      </c>
      <c r="BK7" s="167" t="s">
        <v>20</v>
      </c>
      <c r="BL7" s="167" t="s">
        <v>15</v>
      </c>
      <c r="BM7" s="167" t="s">
        <v>20</v>
      </c>
      <c r="BN7" s="167" t="s">
        <v>15</v>
      </c>
      <c r="BO7" s="167" t="s">
        <v>20</v>
      </c>
      <c r="BP7" s="169" t="s">
        <v>770</v>
      </c>
      <c r="BQ7" s="168" t="s">
        <v>854</v>
      </c>
      <c r="BR7" s="170" t="s">
        <v>16</v>
      </c>
      <c r="BS7" s="170" t="s">
        <v>120</v>
      </c>
      <c r="BT7" s="170" t="s">
        <v>569</v>
      </c>
      <c r="BU7" s="170" t="s">
        <v>16</v>
      </c>
      <c r="BV7" s="170" t="s">
        <v>569</v>
      </c>
      <c r="BW7" s="170" t="s">
        <v>15</v>
      </c>
      <c r="BX7" s="170" t="s">
        <v>20</v>
      </c>
      <c r="BY7" s="170" t="s">
        <v>15</v>
      </c>
      <c r="BZ7" s="170" t="s">
        <v>20</v>
      </c>
    </row>
    <row r="8" spans="1:235" s="153" customFormat="1" ht="57" x14ac:dyDescent="0.25">
      <c r="A8" s="179">
        <v>11200</v>
      </c>
      <c r="B8" s="180" t="s">
        <v>3</v>
      </c>
      <c r="C8" s="181" t="s">
        <v>291</v>
      </c>
      <c r="D8" s="180" t="s">
        <v>153</v>
      </c>
      <c r="E8" s="182" t="s">
        <v>823</v>
      </c>
      <c r="F8" s="180" t="s">
        <v>133</v>
      </c>
      <c r="G8" s="183" t="s">
        <v>124</v>
      </c>
      <c r="H8" s="182">
        <v>4</v>
      </c>
      <c r="I8" s="182" t="s">
        <v>292</v>
      </c>
      <c r="J8" s="180" t="s">
        <v>24</v>
      </c>
      <c r="K8" s="184">
        <v>0</v>
      </c>
      <c r="L8" s="185">
        <v>1</v>
      </c>
      <c r="M8" s="180" t="s">
        <v>51</v>
      </c>
      <c r="N8" s="180" t="s">
        <v>68</v>
      </c>
      <c r="O8" s="180" t="s">
        <v>21</v>
      </c>
      <c r="P8" s="180" t="s">
        <v>36</v>
      </c>
      <c r="Q8" s="180" t="s">
        <v>75</v>
      </c>
      <c r="R8" s="180" t="s">
        <v>631</v>
      </c>
      <c r="S8" s="180" t="s">
        <v>98</v>
      </c>
      <c r="T8" s="182">
        <v>4</v>
      </c>
      <c r="U8" s="180" t="str">
        <f>+J8</f>
        <v>Reportar el cumplimiento del Plan de Acción de la Dependencia</v>
      </c>
      <c r="V8" s="186">
        <f>+K8</f>
        <v>0</v>
      </c>
      <c r="W8" s="187" t="s">
        <v>117</v>
      </c>
      <c r="X8" s="188">
        <v>1</v>
      </c>
      <c r="Y8" s="180" t="s">
        <v>24</v>
      </c>
      <c r="Z8" s="184">
        <v>0</v>
      </c>
      <c r="AA8" s="189"/>
      <c r="AB8" s="187"/>
      <c r="AC8" s="190">
        <f>+(AA8/X8)</f>
        <v>0</v>
      </c>
      <c r="AD8" s="190" t="e">
        <f>+(AB8/Z8)</f>
        <v>#DIV/0!</v>
      </c>
      <c r="AE8" s="190">
        <f>+(AA8/T8)</f>
        <v>0</v>
      </c>
      <c r="AF8" s="190" t="e">
        <f>+(AB8/V8)</f>
        <v>#DIV/0!</v>
      </c>
      <c r="AG8" s="188">
        <v>1</v>
      </c>
      <c r="AH8" s="180" t="s">
        <v>24</v>
      </c>
      <c r="AI8" s="184">
        <v>0</v>
      </c>
      <c r="AJ8" s="189">
        <v>0</v>
      </c>
      <c r="AK8" s="189"/>
      <c r="AL8" s="190">
        <f>+(AJ8/AG8)</f>
        <v>0</v>
      </c>
      <c r="AM8" s="190" t="e">
        <f>+(AK8/AI8)</f>
        <v>#DIV/0!</v>
      </c>
      <c r="AN8" s="190">
        <f>+(AJ8+AA8)/T8</f>
        <v>0</v>
      </c>
      <c r="AO8" s="190" t="e">
        <f>+(AK8+AB8)/V8</f>
        <v>#DIV/0!</v>
      </c>
      <c r="AP8" s="188">
        <v>1</v>
      </c>
      <c r="AQ8" s="180" t="s">
        <v>24</v>
      </c>
      <c r="AR8" s="184">
        <v>0</v>
      </c>
      <c r="AS8" s="189"/>
      <c r="AT8" s="189"/>
      <c r="AU8" s="190">
        <f>+(AS8/AP8)</f>
        <v>0</v>
      </c>
      <c r="AV8" s="190" t="e">
        <f>+(AT8/AR8)</f>
        <v>#DIV/0!</v>
      </c>
      <c r="AW8" s="190">
        <f>+(AJ8+AA8+AS8)/T8</f>
        <v>0</v>
      </c>
      <c r="AX8" s="190" t="e">
        <f>+(AK8+AB8+AT8)/V8</f>
        <v>#DIV/0!</v>
      </c>
      <c r="AY8" s="188">
        <v>1</v>
      </c>
      <c r="AZ8" s="180" t="s">
        <v>24</v>
      </c>
      <c r="BA8" s="184">
        <v>0</v>
      </c>
      <c r="BB8" s="189"/>
      <c r="BC8" s="189"/>
      <c r="BD8" s="190">
        <f>+(BB8/AY8)</f>
        <v>0</v>
      </c>
      <c r="BE8" s="190" t="e">
        <f>+(BC8/BA8)</f>
        <v>#DIV/0!</v>
      </c>
      <c r="BF8" s="190">
        <f>+(AJ8+AA8+AS8+BB8)/T8</f>
        <v>0</v>
      </c>
      <c r="BG8" s="190" t="e">
        <f>+(AK8+AB8+AT8+BC8)/V8</f>
        <v>#DIV/0!</v>
      </c>
      <c r="BH8" s="191">
        <f>IF(AND(X8=0,AA8=0),"No Prog ni Ejec",IF(X8=0,CONCATENATE("No Prog, Ejec=  ",AA8),AA8/X8))</f>
        <v>0</v>
      </c>
      <c r="BI8" s="191" t="str">
        <f>IF(AND(Z8=0,AB8=0),"No Prog ni Ejec",IF(Z8=0,CONCATENATE("No Prog, Ejec=  ",AB8),AB8/Z8))</f>
        <v>No Prog ni Ejec</v>
      </c>
      <c r="BJ8" s="191">
        <f>IF(AND(AG8=0,AJ8=0),"No Prog ni Ejec",IF(AG8=0,CONCATENATE("No Prog, Ejec=  ",AJ8),AJ8/AG8))</f>
        <v>0</v>
      </c>
      <c r="BK8" s="191" t="str">
        <f>IF(AND(AI8=0,AK8=0),"No Prog ni Ejec",IF(AI8=0,CONCATENATE("No Prog, Ejec=  ",AK8),AK8/AI8))</f>
        <v>No Prog ni Ejec</v>
      </c>
      <c r="BL8" s="191">
        <f>IF(AND(AP8=0,AS8=0),"No Prog ni Ejec",IF(AP8=0,CONCATENATE("No Prog, Ejec=  ",AS8),AS8/AP8))</f>
        <v>0</v>
      </c>
      <c r="BM8" s="191" t="str">
        <f>IF(AND(AR8=0,AT8=0),"No Prog ni Ejec",IF(AR8=0,CONCATENATE("No Prog, Ejec=  ",AT8),AT8/AR8))</f>
        <v>No Prog ni Ejec</v>
      </c>
      <c r="BN8" s="191">
        <f>IF(AND(AY8=0,BB8=0),"No Prog ni Ejec",IF(AY8=0,CONCATENATE("No Prog, Ejec=  ",BB8),BB8/AY8))</f>
        <v>0</v>
      </c>
      <c r="BO8" s="191" t="str">
        <f>IF(AND(BA8=0,BC8=0),"No Prog ni Ejec",IF(BA8=0,CONCATENATE("No Prog, Ejec=  ",BC8),BC8/BA8))</f>
        <v>No Prog ni Ejec</v>
      </c>
      <c r="BP8" s="192"/>
      <c r="BQ8" s="277">
        <v>5</v>
      </c>
      <c r="BR8" s="193">
        <f>+(X8+AG8)</f>
        <v>2</v>
      </c>
      <c r="BS8" s="194" t="str">
        <f>+U8</f>
        <v>Reportar el cumplimiento del Plan de Acción de la Dependencia</v>
      </c>
      <c r="BT8" s="195">
        <f>+(Z8+AI8+(AR8/3))</f>
        <v>0</v>
      </c>
      <c r="BU8" s="196"/>
      <c r="BV8" s="196"/>
      <c r="BW8" s="196"/>
      <c r="BX8" s="196"/>
      <c r="BY8" s="196"/>
      <c r="BZ8" s="19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row>
    <row r="9" spans="1:235" s="159" customFormat="1" ht="99.75" x14ac:dyDescent="0.25">
      <c r="A9" s="197">
        <v>11200</v>
      </c>
      <c r="B9" s="194" t="s">
        <v>3</v>
      </c>
      <c r="C9" s="198" t="s">
        <v>152</v>
      </c>
      <c r="D9" s="194" t="s">
        <v>256</v>
      </c>
      <c r="E9" s="953" t="s">
        <v>154</v>
      </c>
      <c r="F9" s="963" t="s">
        <v>149</v>
      </c>
      <c r="G9" s="199" t="s">
        <v>124</v>
      </c>
      <c r="H9" s="200"/>
      <c r="I9" s="953" t="s">
        <v>155</v>
      </c>
      <c r="J9" s="963" t="s">
        <v>148</v>
      </c>
      <c r="K9" s="957">
        <v>500000000</v>
      </c>
      <c r="L9" s="980">
        <v>1</v>
      </c>
      <c r="M9" s="963" t="s">
        <v>48</v>
      </c>
      <c r="N9" s="963" t="s">
        <v>62</v>
      </c>
      <c r="O9" s="963" t="s">
        <v>37</v>
      </c>
      <c r="P9" s="963" t="s">
        <v>40</v>
      </c>
      <c r="Q9" s="963" t="s">
        <v>227</v>
      </c>
      <c r="R9" s="201" t="s">
        <v>846</v>
      </c>
      <c r="S9" s="194" t="s">
        <v>99</v>
      </c>
      <c r="T9" s="202"/>
      <c r="U9" s="965" t="str">
        <f>+J9</f>
        <v>Diseño y ejecución de estrategias de campaña Marketing para la ADRES.</v>
      </c>
      <c r="V9" s="951">
        <f>+K9</f>
        <v>500000000</v>
      </c>
      <c r="W9" s="994" t="s">
        <v>114</v>
      </c>
      <c r="X9" s="278"/>
      <c r="Y9" s="963" t="s">
        <v>148</v>
      </c>
      <c r="Z9" s="957">
        <v>150000000</v>
      </c>
      <c r="AA9" s="279"/>
      <c r="AB9" s="959"/>
      <c r="AC9" s="280" t="e">
        <f>+(AA9/X9)</f>
        <v>#DIV/0!</v>
      </c>
      <c r="AD9" s="969">
        <f>+(AB9/Z9)</f>
        <v>0</v>
      </c>
      <c r="AE9" s="280" t="e">
        <f t="shared" ref="AE9:AE74" si="0">+(AA9/T9)</f>
        <v>#DIV/0!</v>
      </c>
      <c r="AF9" s="969">
        <f t="shared" ref="AF9:AF74" si="1">+(AB9/V9)</f>
        <v>0</v>
      </c>
      <c r="AG9" s="278"/>
      <c r="AH9" s="963" t="s">
        <v>148</v>
      </c>
      <c r="AI9" s="957">
        <v>150000000</v>
      </c>
      <c r="AJ9" s="279"/>
      <c r="AK9" s="959"/>
      <c r="AL9" s="280" t="e">
        <f>+(AJ9/AG9)</f>
        <v>#DIV/0!</v>
      </c>
      <c r="AM9" s="969">
        <f t="shared" ref="AM9:AM74" si="2">+(AK9/AI9)</f>
        <v>0</v>
      </c>
      <c r="AN9" s="280" t="e">
        <f t="shared" ref="AN9:AN74" si="3">+(AJ9+AA9)/T9</f>
        <v>#DIV/0!</v>
      </c>
      <c r="AO9" s="969">
        <f t="shared" ref="AO9:AO74" si="4">+(AK9+AB9)/V9</f>
        <v>0</v>
      </c>
      <c r="AP9" s="278"/>
      <c r="AQ9" s="963" t="s">
        <v>148</v>
      </c>
      <c r="AR9" s="957">
        <v>150000000</v>
      </c>
      <c r="AS9" s="279"/>
      <c r="AT9" s="959"/>
      <c r="AU9" s="280" t="e">
        <f>+(AS9/AP9)</f>
        <v>#DIV/0!</v>
      </c>
      <c r="AV9" s="969">
        <f>+(AT9/AR9)</f>
        <v>0</v>
      </c>
      <c r="AW9" s="280" t="e">
        <f>+(AJ9+AA9+AS9)/T9</f>
        <v>#DIV/0!</v>
      </c>
      <c r="AX9" s="969">
        <f>+(AK9+AB9+AT9)/V9</f>
        <v>0</v>
      </c>
      <c r="AY9" s="278"/>
      <c r="AZ9" s="963" t="s">
        <v>148</v>
      </c>
      <c r="BA9" s="957">
        <v>50000000</v>
      </c>
      <c r="BB9" s="279"/>
      <c r="BC9" s="959"/>
      <c r="BD9" s="280" t="e">
        <f t="shared" ref="BD9" si="5">+(BB9/AY9)</f>
        <v>#DIV/0!</v>
      </c>
      <c r="BE9" s="969">
        <f t="shared" ref="BE9" si="6">+(BC9/BA9)</f>
        <v>0</v>
      </c>
      <c r="BF9" s="280" t="e">
        <f>+(AJ9+AA9+AS9+BB9)/T9</f>
        <v>#DIV/0!</v>
      </c>
      <c r="BG9" s="969">
        <f>+(AK9+AB9+AT9+BC9)/V9</f>
        <v>0</v>
      </c>
      <c r="BH9" s="205" t="str">
        <f t="shared" ref="BH9:BH74" si="7">IF(AND(X9=0,AA9=0),"No Prog ni Ejec",IF(X9=0,CONCATENATE("No Prog, Ejec=  ",AA9),AA9/X9))</f>
        <v>No Prog ni Ejec</v>
      </c>
      <c r="BI9" s="983">
        <f t="shared" ref="BI9:BI74" si="8">IF(AND(Z9=0,AB9=0),"No Prog ni Ejec",IF(Z9=0,CONCATENATE("No Prog, Ejec=  ",AB9),AB9/Z9))</f>
        <v>0</v>
      </c>
      <c r="BJ9" s="205" t="str">
        <f t="shared" ref="BJ9:BJ74" si="9">IF(AND(AG9=0,AJ9=0),"No Prog ni Ejec",IF(AG9=0,CONCATENATE("No Prog, Ejec=  ",AJ9),AJ9/AG9))</f>
        <v>No Prog ni Ejec</v>
      </c>
      <c r="BK9" s="983">
        <f t="shared" ref="BK9:BK74" si="10">IF(AND(AI9=0,AK9=0),"No Prog ni Ejec",IF(AI9=0,CONCATENATE("No Prog, Ejec=  ",AK9),AK9/AI9))</f>
        <v>0</v>
      </c>
      <c r="BL9" s="205" t="str">
        <f>IF(AND(AP9=0,AS9=0),"No Prog ni Ejec",IF(AP9=0,CONCATENATE("No Prog, Ejec=  ",AS9),AS9/AP9))</f>
        <v>No Prog ni Ejec</v>
      </c>
      <c r="BM9" s="983">
        <f>IF(AND(AR9=0,AT9=0),"No Prog ni Ejec",IF(AR9=0,CONCATENATE("No Prog, Ejec=  ",AT9),AT9/AR9))</f>
        <v>0</v>
      </c>
      <c r="BN9" s="205" t="str">
        <f t="shared" ref="BN9:BN74" si="11">IF(AND(AY9=0,BB9=0),"No Prog ni Ejec",IF(AY9=0,CONCATENATE("No Prog, Ejec=  ",BB9),BB9/AY9))</f>
        <v>No Prog ni Ejec</v>
      </c>
      <c r="BO9" s="983">
        <f t="shared" ref="BO9:BO74" si="12">IF(AND(BA9=0,BC9=0),"No Prog ni Ejec",IF(BA9=0,CONCATENATE("No Prog, Ejec=  ",BC9),BC9/BA9))</f>
        <v>0</v>
      </c>
      <c r="BP9" s="206"/>
      <c r="BQ9" s="277">
        <v>6</v>
      </c>
      <c r="BR9" s="193">
        <f>+(X9+AG9+(AP9/3))</f>
        <v>0</v>
      </c>
      <c r="BS9" s="943" t="str">
        <f>+U9</f>
        <v>Diseño y ejecución de estrategias de campaña Marketing para la ADRES.</v>
      </c>
      <c r="BT9" s="195">
        <f>+(Z9+AI9+(AR9/3))</f>
        <v>350000000</v>
      </c>
      <c r="BU9" s="196"/>
      <c r="BV9" s="196"/>
      <c r="BW9" s="196"/>
      <c r="BX9" s="196"/>
      <c r="BY9" s="196"/>
      <c r="BZ9" s="19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row>
    <row r="10" spans="1:235" s="154" customFormat="1" ht="99.75" x14ac:dyDescent="0.25">
      <c r="A10" s="197">
        <v>11200</v>
      </c>
      <c r="B10" s="194" t="s">
        <v>3</v>
      </c>
      <c r="C10" s="198" t="s">
        <v>152</v>
      </c>
      <c r="D10" s="194" t="s">
        <v>256</v>
      </c>
      <c r="E10" s="979"/>
      <c r="F10" s="976"/>
      <c r="G10" s="199"/>
      <c r="H10" s="200"/>
      <c r="I10" s="979"/>
      <c r="J10" s="976"/>
      <c r="K10" s="977"/>
      <c r="L10" s="981"/>
      <c r="M10" s="976"/>
      <c r="N10" s="976"/>
      <c r="O10" s="976"/>
      <c r="P10" s="976"/>
      <c r="Q10" s="976"/>
      <c r="R10" s="201" t="s">
        <v>847</v>
      </c>
      <c r="S10" s="194" t="s">
        <v>99</v>
      </c>
      <c r="T10" s="202"/>
      <c r="U10" s="992"/>
      <c r="V10" s="993"/>
      <c r="W10" s="995"/>
      <c r="X10" s="203"/>
      <c r="Y10" s="976"/>
      <c r="Z10" s="977"/>
      <c r="AA10" s="196"/>
      <c r="AB10" s="978"/>
      <c r="AC10" s="204"/>
      <c r="AD10" s="975"/>
      <c r="AE10" s="204"/>
      <c r="AF10" s="975"/>
      <c r="AG10" s="203"/>
      <c r="AH10" s="976"/>
      <c r="AI10" s="977"/>
      <c r="AJ10" s="196"/>
      <c r="AK10" s="978"/>
      <c r="AL10" s="204"/>
      <c r="AM10" s="975"/>
      <c r="AN10" s="204"/>
      <c r="AO10" s="975"/>
      <c r="AP10" s="203"/>
      <c r="AQ10" s="976"/>
      <c r="AR10" s="977"/>
      <c r="AS10" s="196"/>
      <c r="AT10" s="978"/>
      <c r="AU10" s="204"/>
      <c r="AV10" s="975"/>
      <c r="AW10" s="204"/>
      <c r="AX10" s="975"/>
      <c r="AY10" s="203"/>
      <c r="AZ10" s="976"/>
      <c r="BA10" s="977"/>
      <c r="BB10" s="196"/>
      <c r="BC10" s="978"/>
      <c r="BD10" s="204"/>
      <c r="BE10" s="975"/>
      <c r="BF10" s="204"/>
      <c r="BG10" s="975"/>
      <c r="BH10" s="207"/>
      <c r="BI10" s="984"/>
      <c r="BJ10" s="207"/>
      <c r="BK10" s="984"/>
      <c r="BL10" s="207"/>
      <c r="BM10" s="984"/>
      <c r="BN10" s="207"/>
      <c r="BO10" s="984"/>
      <c r="BP10" s="206"/>
      <c r="BQ10" s="277">
        <v>6</v>
      </c>
      <c r="BR10" s="208">
        <f>+(X10+AG10+(AP10/3))</f>
        <v>0</v>
      </c>
      <c r="BS10" s="943"/>
      <c r="BT10" s="195">
        <f t="shared" ref="BT10:BT73" si="13">+(Z10+AI10+(AR10/3))</f>
        <v>0</v>
      </c>
      <c r="BU10" s="196"/>
      <c r="BV10" s="196"/>
      <c r="BW10" s="196"/>
      <c r="BX10" s="196"/>
      <c r="BY10" s="196"/>
      <c r="BZ10" s="19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row>
    <row r="11" spans="1:235" s="154" customFormat="1" ht="99.75" x14ac:dyDescent="0.25">
      <c r="A11" s="197">
        <v>11200</v>
      </c>
      <c r="B11" s="194" t="s">
        <v>3</v>
      </c>
      <c r="C11" s="198" t="s">
        <v>152</v>
      </c>
      <c r="D11" s="194" t="s">
        <v>256</v>
      </c>
      <c r="E11" s="954"/>
      <c r="F11" s="964"/>
      <c r="G11" s="199"/>
      <c r="H11" s="200"/>
      <c r="I11" s="954"/>
      <c r="J11" s="964"/>
      <c r="K11" s="958"/>
      <c r="L11" s="982"/>
      <c r="M11" s="964"/>
      <c r="N11" s="964"/>
      <c r="O11" s="964"/>
      <c r="P11" s="964"/>
      <c r="Q11" s="964"/>
      <c r="R11" s="201" t="s">
        <v>848</v>
      </c>
      <c r="S11" s="194" t="s">
        <v>99</v>
      </c>
      <c r="T11" s="202"/>
      <c r="U11" s="966"/>
      <c r="V11" s="952"/>
      <c r="W11" s="996"/>
      <c r="X11" s="203"/>
      <c r="Y11" s="964"/>
      <c r="Z11" s="958"/>
      <c r="AA11" s="196"/>
      <c r="AB11" s="960"/>
      <c r="AC11" s="204"/>
      <c r="AD11" s="970"/>
      <c r="AE11" s="204"/>
      <c r="AF11" s="970"/>
      <c r="AG11" s="203"/>
      <c r="AH11" s="964"/>
      <c r="AI11" s="958"/>
      <c r="AJ11" s="196"/>
      <c r="AK11" s="960"/>
      <c r="AL11" s="204"/>
      <c r="AM11" s="970"/>
      <c r="AN11" s="204"/>
      <c r="AO11" s="970"/>
      <c r="AP11" s="203"/>
      <c r="AQ11" s="964"/>
      <c r="AR11" s="958"/>
      <c r="AS11" s="196"/>
      <c r="AT11" s="960"/>
      <c r="AU11" s="204"/>
      <c r="AV11" s="970"/>
      <c r="AW11" s="204"/>
      <c r="AX11" s="970"/>
      <c r="AY11" s="203"/>
      <c r="AZ11" s="964"/>
      <c r="BA11" s="958"/>
      <c r="BB11" s="196"/>
      <c r="BC11" s="960"/>
      <c r="BD11" s="204"/>
      <c r="BE11" s="970"/>
      <c r="BF11" s="204"/>
      <c r="BG11" s="970"/>
      <c r="BH11" s="207"/>
      <c r="BI11" s="985"/>
      <c r="BJ11" s="207"/>
      <c r="BK11" s="985"/>
      <c r="BL11" s="207"/>
      <c r="BM11" s="985"/>
      <c r="BN11" s="207"/>
      <c r="BO11" s="985"/>
      <c r="BP11" s="206"/>
      <c r="BQ11" s="277">
        <v>6</v>
      </c>
      <c r="BR11" s="208">
        <f t="shared" ref="BR11:BR74" si="14">+(X11+AG11+(AP11/3))</f>
        <v>0</v>
      </c>
      <c r="BS11" s="943"/>
      <c r="BT11" s="195">
        <f t="shared" si="13"/>
        <v>0</v>
      </c>
      <c r="BU11" s="196"/>
      <c r="BV11" s="196"/>
      <c r="BW11" s="196"/>
      <c r="BX11" s="196"/>
      <c r="BY11" s="196"/>
      <c r="BZ11" s="19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row>
    <row r="12" spans="1:235" s="153" customFormat="1" ht="57" x14ac:dyDescent="0.25">
      <c r="A12" s="197">
        <v>11300</v>
      </c>
      <c r="B12" s="194" t="s">
        <v>4</v>
      </c>
      <c r="C12" s="198" t="s">
        <v>150</v>
      </c>
      <c r="D12" s="194" t="s">
        <v>153</v>
      </c>
      <c r="E12" s="198" t="s">
        <v>151</v>
      </c>
      <c r="F12" s="194" t="s">
        <v>133</v>
      </c>
      <c r="G12" s="209" t="s">
        <v>124</v>
      </c>
      <c r="H12" s="198">
        <v>4</v>
      </c>
      <c r="I12" s="198" t="s">
        <v>293</v>
      </c>
      <c r="J12" s="194" t="s">
        <v>24</v>
      </c>
      <c r="K12" s="210">
        <v>0</v>
      </c>
      <c r="L12" s="211">
        <v>1</v>
      </c>
      <c r="M12" s="194" t="s">
        <v>51</v>
      </c>
      <c r="N12" s="194" t="s">
        <v>68</v>
      </c>
      <c r="O12" s="194" t="s">
        <v>21</v>
      </c>
      <c r="P12" s="194" t="s">
        <v>36</v>
      </c>
      <c r="Q12" s="194" t="s">
        <v>75</v>
      </c>
      <c r="R12" s="194" t="s">
        <v>631</v>
      </c>
      <c r="S12" s="194" t="s">
        <v>98</v>
      </c>
      <c r="T12" s="198">
        <v>4</v>
      </c>
      <c r="U12" s="212" t="str">
        <f t="shared" ref="U12:V75" si="15">+J12</f>
        <v>Reportar el cumplimiento del Plan de Acción de la Dependencia</v>
      </c>
      <c r="V12" s="213">
        <f t="shared" si="15"/>
        <v>0</v>
      </c>
      <c r="W12" s="214" t="s">
        <v>117</v>
      </c>
      <c r="X12" s="215">
        <v>1</v>
      </c>
      <c r="Y12" s="214" t="s">
        <v>24</v>
      </c>
      <c r="Z12" s="210">
        <v>0</v>
      </c>
      <c r="AA12" s="196"/>
      <c r="AB12" s="196"/>
      <c r="AC12" s="204">
        <f t="shared" ref="AC12:AC75" si="16">+(AA12/X12)</f>
        <v>0</v>
      </c>
      <c r="AD12" s="204" t="e">
        <f t="shared" ref="AD12:AD75" si="17">+(AB12/Z12)</f>
        <v>#DIV/0!</v>
      </c>
      <c r="AE12" s="204">
        <f t="shared" si="0"/>
        <v>0</v>
      </c>
      <c r="AF12" s="204" t="e">
        <f t="shared" si="1"/>
        <v>#DIV/0!</v>
      </c>
      <c r="AG12" s="215">
        <v>1</v>
      </c>
      <c r="AH12" s="214" t="s">
        <v>24</v>
      </c>
      <c r="AI12" s="210">
        <v>0</v>
      </c>
      <c r="AJ12" s="196"/>
      <c r="AK12" s="196"/>
      <c r="AL12" s="204">
        <f t="shared" ref="AL12:AL75" si="18">+(AJ12/AG12)</f>
        <v>0</v>
      </c>
      <c r="AM12" s="204" t="e">
        <f t="shared" si="2"/>
        <v>#DIV/0!</v>
      </c>
      <c r="AN12" s="204">
        <f t="shared" si="3"/>
        <v>0</v>
      </c>
      <c r="AO12" s="204" t="e">
        <f t="shared" si="4"/>
        <v>#DIV/0!</v>
      </c>
      <c r="AP12" s="215">
        <v>1</v>
      </c>
      <c r="AQ12" s="214" t="s">
        <v>24</v>
      </c>
      <c r="AR12" s="210">
        <v>0</v>
      </c>
      <c r="AS12" s="196"/>
      <c r="AT12" s="196"/>
      <c r="AU12" s="204">
        <f t="shared" ref="AU12:AU75" si="19">+(AS12/AP12)</f>
        <v>0</v>
      </c>
      <c r="AV12" s="204" t="e">
        <f t="shared" ref="AV12:AV75" si="20">+(AT12/AR12)</f>
        <v>#DIV/0!</v>
      </c>
      <c r="AW12" s="204">
        <f t="shared" ref="AW12:AW75" si="21">+(AJ12+AA12+AS12)/T12</f>
        <v>0</v>
      </c>
      <c r="AX12" s="204" t="e">
        <f t="shared" ref="AX12:AX75" si="22">+(AK12+AB12+AT12)/V12</f>
        <v>#DIV/0!</v>
      </c>
      <c r="AY12" s="215">
        <v>1</v>
      </c>
      <c r="AZ12" s="214" t="s">
        <v>24</v>
      </c>
      <c r="BA12" s="210">
        <v>0</v>
      </c>
      <c r="BB12" s="196"/>
      <c r="BC12" s="196"/>
      <c r="BD12" s="216">
        <f t="shared" ref="BD12:BD75" si="23">+(BB12/AY12)</f>
        <v>0</v>
      </c>
      <c r="BE12" s="216" t="e">
        <f t="shared" ref="BE12:BE75" si="24">+(BC12/BA12)</f>
        <v>#DIV/0!</v>
      </c>
      <c r="BF12" s="216">
        <f t="shared" ref="BF12:BF75" si="25">+(AJ12+AA12+AS12+BB12)/T12</f>
        <v>0</v>
      </c>
      <c r="BG12" s="216" t="e">
        <f t="shared" ref="BG12:BG75" si="26">+(AK12+AB12+AT12+BC12)/V12</f>
        <v>#DIV/0!</v>
      </c>
      <c r="BH12" s="217">
        <f t="shared" si="7"/>
        <v>0</v>
      </c>
      <c r="BI12" s="217" t="str">
        <f t="shared" si="8"/>
        <v>No Prog ni Ejec</v>
      </c>
      <c r="BJ12" s="217">
        <f t="shared" si="9"/>
        <v>0</v>
      </c>
      <c r="BK12" s="217" t="str">
        <f t="shared" si="10"/>
        <v>No Prog ni Ejec</v>
      </c>
      <c r="BL12" s="217">
        <f t="shared" ref="BL12:BL75" si="27">IF(AND(AP12=0,AS12=0),"No Prog ni Ejec",IF(AP12=0,CONCATENATE("No Prog, Ejec=  ",AS12),AS12/AP12))</f>
        <v>0</v>
      </c>
      <c r="BM12" s="217" t="str">
        <f t="shared" ref="BM12:BM75" si="28">IF(AND(AR12=0,AT12=0),"No Prog ni Ejec",IF(AR12=0,CONCATENATE("No Prog, Ejec=  ",AT12),AT12/AR12))</f>
        <v>No Prog ni Ejec</v>
      </c>
      <c r="BN12" s="217">
        <f t="shared" si="11"/>
        <v>0</v>
      </c>
      <c r="BO12" s="217" t="str">
        <f t="shared" si="12"/>
        <v>No Prog ni Ejec</v>
      </c>
      <c r="BP12" s="206"/>
      <c r="BQ12" s="277">
        <v>5</v>
      </c>
      <c r="BR12" s="218">
        <f t="shared" si="14"/>
        <v>2.3333333333333335</v>
      </c>
      <c r="BS12" s="219" t="str">
        <f>+U12</f>
        <v>Reportar el cumplimiento del Plan de Acción de la Dependencia</v>
      </c>
      <c r="BT12" s="195">
        <f t="shared" si="13"/>
        <v>0</v>
      </c>
      <c r="BU12" s="196"/>
      <c r="BV12" s="196"/>
      <c r="BW12" s="196"/>
      <c r="BX12" s="196"/>
      <c r="BY12" s="196"/>
      <c r="BZ12" s="19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row>
    <row r="13" spans="1:235" s="153" customFormat="1" ht="99.75" x14ac:dyDescent="0.25">
      <c r="A13" s="197">
        <v>11300</v>
      </c>
      <c r="B13" s="194" t="s">
        <v>4</v>
      </c>
      <c r="C13" s="198" t="s">
        <v>157</v>
      </c>
      <c r="D13" s="194" t="s">
        <v>256</v>
      </c>
      <c r="E13" s="198" t="s">
        <v>576</v>
      </c>
      <c r="F13" s="194" t="s">
        <v>159</v>
      </c>
      <c r="G13" s="209" t="s">
        <v>123</v>
      </c>
      <c r="H13" s="216">
        <v>1</v>
      </c>
      <c r="I13" s="198" t="s">
        <v>577</v>
      </c>
      <c r="J13" s="194" t="s">
        <v>156</v>
      </c>
      <c r="K13" s="210">
        <v>0</v>
      </c>
      <c r="L13" s="211">
        <v>1</v>
      </c>
      <c r="M13" s="194" t="s">
        <v>51</v>
      </c>
      <c r="N13" s="194" t="s">
        <v>68</v>
      </c>
      <c r="O13" s="194" t="s">
        <v>21</v>
      </c>
      <c r="P13" s="194" t="s">
        <v>36</v>
      </c>
      <c r="Q13" s="194" t="s">
        <v>75</v>
      </c>
      <c r="R13" s="194" t="s">
        <v>672</v>
      </c>
      <c r="S13" s="194" t="s">
        <v>98</v>
      </c>
      <c r="T13" s="211">
        <v>1</v>
      </c>
      <c r="U13" s="212" t="str">
        <f t="shared" si="15"/>
        <v>Formular los proceso y procedimientos en el marco del MIPG</v>
      </c>
      <c r="V13" s="213">
        <f t="shared" si="15"/>
        <v>0</v>
      </c>
      <c r="W13" s="214" t="s">
        <v>117</v>
      </c>
      <c r="X13" s="216">
        <v>0.25</v>
      </c>
      <c r="Y13" s="214" t="s">
        <v>156</v>
      </c>
      <c r="Z13" s="210">
        <v>0</v>
      </c>
      <c r="AA13" s="196"/>
      <c r="AB13" s="196"/>
      <c r="AC13" s="204">
        <f t="shared" si="16"/>
        <v>0</v>
      </c>
      <c r="AD13" s="204" t="e">
        <f t="shared" si="17"/>
        <v>#DIV/0!</v>
      </c>
      <c r="AE13" s="204">
        <f t="shared" si="0"/>
        <v>0</v>
      </c>
      <c r="AF13" s="204" t="e">
        <f t="shared" si="1"/>
        <v>#DIV/0!</v>
      </c>
      <c r="AG13" s="216">
        <v>0.25</v>
      </c>
      <c r="AH13" s="214" t="s">
        <v>156</v>
      </c>
      <c r="AI13" s="210">
        <v>0</v>
      </c>
      <c r="AJ13" s="196"/>
      <c r="AK13" s="196"/>
      <c r="AL13" s="204">
        <f t="shared" si="18"/>
        <v>0</v>
      </c>
      <c r="AM13" s="204" t="e">
        <f t="shared" si="2"/>
        <v>#DIV/0!</v>
      </c>
      <c r="AN13" s="204">
        <f t="shared" si="3"/>
        <v>0</v>
      </c>
      <c r="AO13" s="204" t="e">
        <f t="shared" si="4"/>
        <v>#DIV/0!</v>
      </c>
      <c r="AP13" s="216">
        <v>0.25</v>
      </c>
      <c r="AQ13" s="214" t="s">
        <v>156</v>
      </c>
      <c r="AR13" s="210">
        <v>0</v>
      </c>
      <c r="AS13" s="196"/>
      <c r="AT13" s="196"/>
      <c r="AU13" s="204">
        <f t="shared" si="19"/>
        <v>0</v>
      </c>
      <c r="AV13" s="204" t="e">
        <f t="shared" si="20"/>
        <v>#DIV/0!</v>
      </c>
      <c r="AW13" s="204">
        <f t="shared" si="21"/>
        <v>0</v>
      </c>
      <c r="AX13" s="204" t="e">
        <f t="shared" si="22"/>
        <v>#DIV/0!</v>
      </c>
      <c r="AY13" s="216">
        <v>0.25</v>
      </c>
      <c r="AZ13" s="214" t="s">
        <v>156</v>
      </c>
      <c r="BA13" s="210">
        <v>0</v>
      </c>
      <c r="BB13" s="196"/>
      <c r="BC13" s="196"/>
      <c r="BD13" s="216">
        <f t="shared" si="23"/>
        <v>0</v>
      </c>
      <c r="BE13" s="216" t="e">
        <f t="shared" si="24"/>
        <v>#DIV/0!</v>
      </c>
      <c r="BF13" s="216">
        <f t="shared" si="25"/>
        <v>0</v>
      </c>
      <c r="BG13" s="216" t="e">
        <f t="shared" si="26"/>
        <v>#DIV/0!</v>
      </c>
      <c r="BH13" s="217">
        <f t="shared" si="7"/>
        <v>0</v>
      </c>
      <c r="BI13" s="217" t="str">
        <f t="shared" si="8"/>
        <v>No Prog ni Ejec</v>
      </c>
      <c r="BJ13" s="217">
        <f t="shared" si="9"/>
        <v>0</v>
      </c>
      <c r="BK13" s="217" t="str">
        <f t="shared" si="10"/>
        <v>No Prog ni Ejec</v>
      </c>
      <c r="BL13" s="217">
        <f t="shared" si="27"/>
        <v>0</v>
      </c>
      <c r="BM13" s="217" t="str">
        <f t="shared" si="28"/>
        <v>No Prog ni Ejec</v>
      </c>
      <c r="BN13" s="217">
        <f t="shared" si="11"/>
        <v>0</v>
      </c>
      <c r="BO13" s="217" t="str">
        <f t="shared" si="12"/>
        <v>No Prog ni Ejec</v>
      </c>
      <c r="BP13" s="206"/>
      <c r="BQ13" s="277">
        <v>5</v>
      </c>
      <c r="BR13" s="208">
        <f t="shared" si="14"/>
        <v>0.58333333333333337</v>
      </c>
      <c r="BS13" s="219" t="str">
        <f>+U13</f>
        <v>Formular los proceso y procedimientos en el marco del MIPG</v>
      </c>
      <c r="BT13" s="195">
        <f t="shared" si="13"/>
        <v>0</v>
      </c>
      <c r="BU13" s="196"/>
      <c r="BV13" s="196"/>
      <c r="BW13" s="196"/>
      <c r="BX13" s="196"/>
      <c r="BY13" s="196"/>
      <c r="BZ13" s="19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row>
    <row r="14" spans="1:235" s="153" customFormat="1" ht="99.75" x14ac:dyDescent="0.25">
      <c r="A14" s="197">
        <v>11300</v>
      </c>
      <c r="B14" s="194" t="s">
        <v>4</v>
      </c>
      <c r="C14" s="198" t="s">
        <v>157</v>
      </c>
      <c r="D14" s="194" t="s">
        <v>256</v>
      </c>
      <c r="E14" s="198" t="s">
        <v>158</v>
      </c>
      <c r="F14" s="194" t="s">
        <v>127</v>
      </c>
      <c r="G14" s="209" t="s">
        <v>123</v>
      </c>
      <c r="H14" s="216">
        <v>1</v>
      </c>
      <c r="I14" s="198" t="s">
        <v>294</v>
      </c>
      <c r="J14" s="194" t="s">
        <v>128</v>
      </c>
      <c r="K14" s="210">
        <v>0</v>
      </c>
      <c r="L14" s="211">
        <v>1</v>
      </c>
      <c r="M14" s="194" t="s">
        <v>51</v>
      </c>
      <c r="N14" s="194" t="s">
        <v>68</v>
      </c>
      <c r="O14" s="194" t="s">
        <v>21</v>
      </c>
      <c r="P14" s="194" t="s">
        <v>36</v>
      </c>
      <c r="Q14" s="194" t="s">
        <v>75</v>
      </c>
      <c r="R14" s="194" t="s">
        <v>570</v>
      </c>
      <c r="S14" s="194" t="s">
        <v>98</v>
      </c>
      <c r="T14" s="211">
        <v>1</v>
      </c>
      <c r="U14" s="212" t="str">
        <f t="shared" si="15"/>
        <v>Remitir informes trimestrales de los indicadores formulados y las acciones de mejoras</v>
      </c>
      <c r="V14" s="213">
        <f t="shared" si="15"/>
        <v>0</v>
      </c>
      <c r="W14" s="214" t="s">
        <v>117</v>
      </c>
      <c r="X14" s="216">
        <v>0</v>
      </c>
      <c r="Y14" s="214" t="s">
        <v>128</v>
      </c>
      <c r="Z14" s="210">
        <v>0</v>
      </c>
      <c r="AA14" s="196"/>
      <c r="AB14" s="196"/>
      <c r="AC14" s="204" t="e">
        <f t="shared" si="16"/>
        <v>#DIV/0!</v>
      </c>
      <c r="AD14" s="204" t="e">
        <f>+(AB14/Z14)</f>
        <v>#DIV/0!</v>
      </c>
      <c r="AE14" s="204">
        <f>+(AA14/T14)</f>
        <v>0</v>
      </c>
      <c r="AF14" s="204" t="e">
        <f>+(AB14/V14)</f>
        <v>#DIV/0!</v>
      </c>
      <c r="AG14" s="216">
        <v>0</v>
      </c>
      <c r="AH14" s="214" t="s">
        <v>128</v>
      </c>
      <c r="AI14" s="210">
        <v>0</v>
      </c>
      <c r="AJ14" s="196"/>
      <c r="AK14" s="196"/>
      <c r="AL14" s="204" t="e">
        <f t="shared" si="18"/>
        <v>#DIV/0!</v>
      </c>
      <c r="AM14" s="204" t="e">
        <f t="shared" si="2"/>
        <v>#DIV/0!</v>
      </c>
      <c r="AN14" s="204">
        <f t="shared" si="3"/>
        <v>0</v>
      </c>
      <c r="AO14" s="204" t="e">
        <f t="shared" si="4"/>
        <v>#DIV/0!</v>
      </c>
      <c r="AP14" s="216">
        <v>0</v>
      </c>
      <c r="AQ14" s="214" t="s">
        <v>128</v>
      </c>
      <c r="AR14" s="210">
        <v>0</v>
      </c>
      <c r="AS14" s="196"/>
      <c r="AT14" s="196"/>
      <c r="AU14" s="204" t="e">
        <f t="shared" si="19"/>
        <v>#DIV/0!</v>
      </c>
      <c r="AV14" s="204" t="e">
        <f t="shared" si="20"/>
        <v>#DIV/0!</v>
      </c>
      <c r="AW14" s="204">
        <f t="shared" si="21"/>
        <v>0</v>
      </c>
      <c r="AX14" s="204" t="e">
        <f t="shared" si="22"/>
        <v>#DIV/0!</v>
      </c>
      <c r="AY14" s="216">
        <v>1</v>
      </c>
      <c r="AZ14" s="214" t="s">
        <v>128</v>
      </c>
      <c r="BA14" s="210">
        <v>0</v>
      </c>
      <c r="BB14" s="196"/>
      <c r="BC14" s="196"/>
      <c r="BD14" s="216">
        <f t="shared" si="23"/>
        <v>0</v>
      </c>
      <c r="BE14" s="216" t="e">
        <f t="shared" si="24"/>
        <v>#DIV/0!</v>
      </c>
      <c r="BF14" s="216">
        <f t="shared" si="25"/>
        <v>0</v>
      </c>
      <c r="BG14" s="216" t="e">
        <f t="shared" si="26"/>
        <v>#DIV/0!</v>
      </c>
      <c r="BH14" s="217" t="str">
        <f t="shared" si="7"/>
        <v>No Prog ni Ejec</v>
      </c>
      <c r="BI14" s="217" t="str">
        <f t="shared" si="8"/>
        <v>No Prog ni Ejec</v>
      </c>
      <c r="BJ14" s="217" t="str">
        <f t="shared" si="9"/>
        <v>No Prog ni Ejec</v>
      </c>
      <c r="BK14" s="217" t="str">
        <f t="shared" si="10"/>
        <v>No Prog ni Ejec</v>
      </c>
      <c r="BL14" s="217" t="str">
        <f t="shared" si="27"/>
        <v>No Prog ni Ejec</v>
      </c>
      <c r="BM14" s="217" t="str">
        <f t="shared" si="28"/>
        <v>No Prog ni Ejec</v>
      </c>
      <c r="BN14" s="217">
        <f t="shared" si="11"/>
        <v>0</v>
      </c>
      <c r="BO14" s="217" t="str">
        <f t="shared" si="12"/>
        <v>No Prog ni Ejec</v>
      </c>
      <c r="BP14" s="206"/>
      <c r="BQ14" s="277">
        <v>5</v>
      </c>
      <c r="BR14" s="208">
        <f t="shared" si="14"/>
        <v>0</v>
      </c>
      <c r="BS14" s="219" t="str">
        <f>+U14</f>
        <v>Remitir informes trimestrales de los indicadores formulados y las acciones de mejoras</v>
      </c>
      <c r="BT14" s="195">
        <f t="shared" si="13"/>
        <v>0</v>
      </c>
      <c r="BU14" s="196"/>
      <c r="BV14" s="196"/>
      <c r="BW14" s="196"/>
      <c r="BX14" s="196"/>
      <c r="BY14" s="196"/>
      <c r="BZ14" s="19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row>
    <row r="15" spans="1:235" s="159" customFormat="1" ht="57" x14ac:dyDescent="0.25">
      <c r="A15" s="197">
        <v>11300</v>
      </c>
      <c r="B15" s="194" t="s">
        <v>4</v>
      </c>
      <c r="C15" s="198" t="s">
        <v>160</v>
      </c>
      <c r="D15" s="194" t="s">
        <v>145</v>
      </c>
      <c r="E15" s="198" t="s">
        <v>161</v>
      </c>
      <c r="F15" s="194" t="s">
        <v>162</v>
      </c>
      <c r="G15" s="209" t="s">
        <v>123</v>
      </c>
      <c r="H15" s="216">
        <v>1</v>
      </c>
      <c r="I15" s="198" t="s">
        <v>295</v>
      </c>
      <c r="J15" s="194" t="s">
        <v>165</v>
      </c>
      <c r="K15" s="210">
        <v>74955308000</v>
      </c>
      <c r="L15" s="220">
        <v>1.7542864196212072E-3</v>
      </c>
      <c r="M15" s="194" t="s">
        <v>46</v>
      </c>
      <c r="N15" s="194" t="s">
        <v>68</v>
      </c>
      <c r="O15" s="194" t="s">
        <v>21</v>
      </c>
      <c r="P15" s="194" t="s">
        <v>36</v>
      </c>
      <c r="Q15" s="194" t="s">
        <v>213</v>
      </c>
      <c r="R15" s="194" t="s">
        <v>182</v>
      </c>
      <c r="S15" s="194" t="s">
        <v>99</v>
      </c>
      <c r="T15" s="211">
        <v>1</v>
      </c>
      <c r="U15" s="212" t="str">
        <f t="shared" si="15"/>
        <v>Transferencias Entidades de Administración Publica Central</v>
      </c>
      <c r="V15" s="213">
        <f t="shared" si="15"/>
        <v>74955308000</v>
      </c>
      <c r="W15" s="214" t="s">
        <v>116</v>
      </c>
      <c r="X15" s="281">
        <v>0.25</v>
      </c>
      <c r="Y15" s="282" t="s">
        <v>165</v>
      </c>
      <c r="Z15" s="283">
        <v>18738827000</v>
      </c>
      <c r="AA15" s="279"/>
      <c r="AB15" s="279"/>
      <c r="AC15" s="280">
        <f t="shared" si="16"/>
        <v>0</v>
      </c>
      <c r="AD15" s="280">
        <f t="shared" si="17"/>
        <v>0</v>
      </c>
      <c r="AE15" s="280">
        <f t="shared" si="0"/>
        <v>0</v>
      </c>
      <c r="AF15" s="280">
        <f t="shared" si="1"/>
        <v>0</v>
      </c>
      <c r="AG15" s="281">
        <v>0.25</v>
      </c>
      <c r="AH15" s="282" t="s">
        <v>165</v>
      </c>
      <c r="AI15" s="283">
        <v>18738827000</v>
      </c>
      <c r="AJ15" s="279"/>
      <c r="AK15" s="279"/>
      <c r="AL15" s="280">
        <f t="shared" si="18"/>
        <v>0</v>
      </c>
      <c r="AM15" s="280">
        <f t="shared" si="2"/>
        <v>0</v>
      </c>
      <c r="AN15" s="280">
        <f t="shared" si="3"/>
        <v>0</v>
      </c>
      <c r="AO15" s="280">
        <f t="shared" si="4"/>
        <v>0</v>
      </c>
      <c r="AP15" s="281">
        <v>0.25</v>
      </c>
      <c r="AQ15" s="282" t="s">
        <v>165</v>
      </c>
      <c r="AR15" s="283">
        <v>18738827000</v>
      </c>
      <c r="AS15" s="279"/>
      <c r="AT15" s="279"/>
      <c r="AU15" s="280">
        <f t="shared" si="19"/>
        <v>0</v>
      </c>
      <c r="AV15" s="280">
        <f t="shared" si="20"/>
        <v>0</v>
      </c>
      <c r="AW15" s="280">
        <f t="shared" si="21"/>
        <v>0</v>
      </c>
      <c r="AX15" s="280">
        <f t="shared" si="22"/>
        <v>0</v>
      </c>
      <c r="AY15" s="281">
        <v>0.25</v>
      </c>
      <c r="AZ15" s="282" t="s">
        <v>165</v>
      </c>
      <c r="BA15" s="283">
        <v>18738827000</v>
      </c>
      <c r="BB15" s="279"/>
      <c r="BC15" s="279"/>
      <c r="BD15" s="281">
        <f t="shared" si="23"/>
        <v>0</v>
      </c>
      <c r="BE15" s="281">
        <f t="shared" si="24"/>
        <v>0</v>
      </c>
      <c r="BF15" s="281">
        <f t="shared" si="25"/>
        <v>0</v>
      </c>
      <c r="BG15" s="281">
        <f t="shared" si="26"/>
        <v>0</v>
      </c>
      <c r="BH15" s="205">
        <f t="shared" si="7"/>
        <v>0</v>
      </c>
      <c r="BI15" s="205">
        <f t="shared" si="8"/>
        <v>0</v>
      </c>
      <c r="BJ15" s="205">
        <f t="shared" si="9"/>
        <v>0</v>
      </c>
      <c r="BK15" s="205">
        <f t="shared" si="10"/>
        <v>0</v>
      </c>
      <c r="BL15" s="205">
        <f t="shared" si="27"/>
        <v>0</v>
      </c>
      <c r="BM15" s="205">
        <f t="shared" si="28"/>
        <v>0</v>
      </c>
      <c r="BN15" s="205">
        <f t="shared" si="11"/>
        <v>0</v>
      </c>
      <c r="BO15" s="205">
        <f t="shared" si="12"/>
        <v>0</v>
      </c>
      <c r="BP15" s="206"/>
      <c r="BQ15" s="277">
        <v>1</v>
      </c>
      <c r="BR15" s="208">
        <f t="shared" si="14"/>
        <v>0.58333333333333337</v>
      </c>
      <c r="BS15" s="219" t="str">
        <f t="shared" ref="BS15:BS78" si="29">+U15</f>
        <v>Transferencias Entidades de Administración Publica Central</v>
      </c>
      <c r="BT15" s="195">
        <f t="shared" si="13"/>
        <v>43723929666.666664</v>
      </c>
      <c r="BU15" s="196"/>
      <c r="BV15" s="196"/>
      <c r="BW15" s="196"/>
      <c r="BX15" s="196"/>
      <c r="BY15" s="196"/>
      <c r="BZ15" s="19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row>
    <row r="16" spans="1:235" s="159" customFormat="1" ht="57" x14ac:dyDescent="0.25">
      <c r="A16" s="197">
        <v>11300</v>
      </c>
      <c r="B16" s="194" t="s">
        <v>4</v>
      </c>
      <c r="C16" s="198" t="s">
        <v>160</v>
      </c>
      <c r="D16" s="194" t="s">
        <v>145</v>
      </c>
      <c r="E16" s="198" t="s">
        <v>161</v>
      </c>
      <c r="F16" s="194" t="s">
        <v>162</v>
      </c>
      <c r="G16" s="209" t="s">
        <v>123</v>
      </c>
      <c r="H16" s="216">
        <v>1</v>
      </c>
      <c r="I16" s="198" t="s">
        <v>296</v>
      </c>
      <c r="J16" s="194" t="s">
        <v>166</v>
      </c>
      <c r="K16" s="210">
        <v>89295030000</v>
      </c>
      <c r="L16" s="220">
        <v>2.0898994700771331E-3</v>
      </c>
      <c r="M16" s="194" t="s">
        <v>46</v>
      </c>
      <c r="N16" s="194" t="s">
        <v>68</v>
      </c>
      <c r="O16" s="194" t="s">
        <v>21</v>
      </c>
      <c r="P16" s="194" t="s">
        <v>36</v>
      </c>
      <c r="Q16" s="194" t="s">
        <v>213</v>
      </c>
      <c r="R16" s="194" t="s">
        <v>182</v>
      </c>
      <c r="S16" s="194" t="s">
        <v>99</v>
      </c>
      <c r="T16" s="211">
        <v>1</v>
      </c>
      <c r="U16" s="212" t="str">
        <f t="shared" si="15"/>
        <v>Empresas Publicas nacionales No Financieras - ADRES</v>
      </c>
      <c r="V16" s="213">
        <f t="shared" si="15"/>
        <v>89295030000</v>
      </c>
      <c r="W16" s="214" t="s">
        <v>116</v>
      </c>
      <c r="X16" s="281">
        <v>0.25</v>
      </c>
      <c r="Y16" s="282" t="s">
        <v>166</v>
      </c>
      <c r="Z16" s="283">
        <v>22323757500</v>
      </c>
      <c r="AA16" s="279"/>
      <c r="AB16" s="279"/>
      <c r="AC16" s="280">
        <f t="shared" si="16"/>
        <v>0</v>
      </c>
      <c r="AD16" s="280">
        <f t="shared" si="17"/>
        <v>0</v>
      </c>
      <c r="AE16" s="280">
        <f t="shared" si="0"/>
        <v>0</v>
      </c>
      <c r="AF16" s="280">
        <f t="shared" si="1"/>
        <v>0</v>
      </c>
      <c r="AG16" s="281">
        <v>0.25</v>
      </c>
      <c r="AH16" s="282" t="s">
        <v>166</v>
      </c>
      <c r="AI16" s="283">
        <v>22323757500</v>
      </c>
      <c r="AJ16" s="279"/>
      <c r="AK16" s="279"/>
      <c r="AL16" s="280">
        <f t="shared" si="18"/>
        <v>0</v>
      </c>
      <c r="AM16" s="280">
        <f t="shared" si="2"/>
        <v>0</v>
      </c>
      <c r="AN16" s="280">
        <f t="shared" si="3"/>
        <v>0</v>
      </c>
      <c r="AO16" s="280">
        <f t="shared" si="4"/>
        <v>0</v>
      </c>
      <c r="AP16" s="281">
        <v>0.25</v>
      </c>
      <c r="AQ16" s="282" t="s">
        <v>166</v>
      </c>
      <c r="AR16" s="283">
        <v>22323757500</v>
      </c>
      <c r="AS16" s="279"/>
      <c r="AT16" s="279"/>
      <c r="AU16" s="280">
        <f t="shared" si="19"/>
        <v>0</v>
      </c>
      <c r="AV16" s="280">
        <f t="shared" si="20"/>
        <v>0</v>
      </c>
      <c r="AW16" s="280">
        <f t="shared" si="21"/>
        <v>0</v>
      </c>
      <c r="AX16" s="280">
        <f t="shared" si="22"/>
        <v>0</v>
      </c>
      <c r="AY16" s="281">
        <v>0.25</v>
      </c>
      <c r="AZ16" s="282" t="s">
        <v>166</v>
      </c>
      <c r="BA16" s="283">
        <v>22323757500</v>
      </c>
      <c r="BB16" s="279"/>
      <c r="BC16" s="279"/>
      <c r="BD16" s="281">
        <f t="shared" si="23"/>
        <v>0</v>
      </c>
      <c r="BE16" s="281">
        <f t="shared" si="24"/>
        <v>0</v>
      </c>
      <c r="BF16" s="281">
        <f t="shared" si="25"/>
        <v>0</v>
      </c>
      <c r="BG16" s="281">
        <f t="shared" si="26"/>
        <v>0</v>
      </c>
      <c r="BH16" s="205">
        <f t="shared" si="7"/>
        <v>0</v>
      </c>
      <c r="BI16" s="205">
        <f t="shared" si="8"/>
        <v>0</v>
      </c>
      <c r="BJ16" s="205">
        <f t="shared" si="9"/>
        <v>0</v>
      </c>
      <c r="BK16" s="205">
        <f t="shared" si="10"/>
        <v>0</v>
      </c>
      <c r="BL16" s="205">
        <f t="shared" si="27"/>
        <v>0</v>
      </c>
      <c r="BM16" s="205">
        <f t="shared" si="28"/>
        <v>0</v>
      </c>
      <c r="BN16" s="205">
        <f t="shared" si="11"/>
        <v>0</v>
      </c>
      <c r="BO16" s="205">
        <f t="shared" si="12"/>
        <v>0</v>
      </c>
      <c r="BP16" s="206"/>
      <c r="BQ16" s="277">
        <v>1</v>
      </c>
      <c r="BR16" s="208">
        <f t="shared" si="14"/>
        <v>0.58333333333333337</v>
      </c>
      <c r="BS16" s="219" t="str">
        <f t="shared" si="29"/>
        <v>Empresas Publicas nacionales No Financieras - ADRES</v>
      </c>
      <c r="BT16" s="195">
        <f t="shared" si="13"/>
        <v>52088767500</v>
      </c>
      <c r="BU16" s="196"/>
      <c r="BV16" s="196"/>
      <c r="BW16" s="196"/>
      <c r="BX16" s="196"/>
      <c r="BY16" s="196"/>
      <c r="BZ16" s="19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row>
    <row r="17" spans="1:235" s="159" customFormat="1" ht="57" x14ac:dyDescent="0.25">
      <c r="A17" s="197">
        <v>11300</v>
      </c>
      <c r="B17" s="194" t="s">
        <v>4</v>
      </c>
      <c r="C17" s="198" t="s">
        <v>160</v>
      </c>
      <c r="D17" s="194" t="s">
        <v>145</v>
      </c>
      <c r="E17" s="198" t="s">
        <v>161</v>
      </c>
      <c r="F17" s="194" t="s">
        <v>162</v>
      </c>
      <c r="G17" s="209" t="s">
        <v>123</v>
      </c>
      <c r="H17" s="216">
        <v>1</v>
      </c>
      <c r="I17" s="198" t="s">
        <v>297</v>
      </c>
      <c r="J17" s="194" t="s">
        <v>167</v>
      </c>
      <c r="K17" s="210">
        <v>3000000000</v>
      </c>
      <c r="L17" s="220">
        <v>7.0213296420096381E-5</v>
      </c>
      <c r="M17" s="194" t="s">
        <v>46</v>
      </c>
      <c r="N17" s="194" t="s">
        <v>68</v>
      </c>
      <c r="O17" s="194" t="s">
        <v>21</v>
      </c>
      <c r="P17" s="194" t="s">
        <v>36</v>
      </c>
      <c r="Q17" s="194" t="s">
        <v>213</v>
      </c>
      <c r="R17" s="194" t="s">
        <v>182</v>
      </c>
      <c r="S17" s="194" t="s">
        <v>99</v>
      </c>
      <c r="T17" s="211">
        <v>1</v>
      </c>
      <c r="U17" s="212" t="str">
        <f t="shared" si="15"/>
        <v>Sentencias y Conciliaciones URA</v>
      </c>
      <c r="V17" s="213">
        <f t="shared" si="15"/>
        <v>3000000000</v>
      </c>
      <c r="W17" s="214" t="s">
        <v>116</v>
      </c>
      <c r="X17" s="281">
        <v>0.25</v>
      </c>
      <c r="Y17" s="282" t="s">
        <v>167</v>
      </c>
      <c r="Z17" s="283">
        <v>750000000</v>
      </c>
      <c r="AA17" s="279"/>
      <c r="AB17" s="279"/>
      <c r="AC17" s="280">
        <f t="shared" si="16"/>
        <v>0</v>
      </c>
      <c r="AD17" s="280">
        <f t="shared" si="17"/>
        <v>0</v>
      </c>
      <c r="AE17" s="280">
        <f t="shared" si="0"/>
        <v>0</v>
      </c>
      <c r="AF17" s="280">
        <f t="shared" si="1"/>
        <v>0</v>
      </c>
      <c r="AG17" s="281">
        <v>0.25</v>
      </c>
      <c r="AH17" s="282" t="s">
        <v>167</v>
      </c>
      <c r="AI17" s="283">
        <v>750000000</v>
      </c>
      <c r="AJ17" s="279"/>
      <c r="AK17" s="279"/>
      <c r="AL17" s="280">
        <f t="shared" si="18"/>
        <v>0</v>
      </c>
      <c r="AM17" s="280">
        <f t="shared" si="2"/>
        <v>0</v>
      </c>
      <c r="AN17" s="280">
        <f t="shared" si="3"/>
        <v>0</v>
      </c>
      <c r="AO17" s="280">
        <f t="shared" si="4"/>
        <v>0</v>
      </c>
      <c r="AP17" s="281">
        <v>0.25</v>
      </c>
      <c r="AQ17" s="282" t="s">
        <v>167</v>
      </c>
      <c r="AR17" s="283">
        <v>750000000</v>
      </c>
      <c r="AS17" s="279"/>
      <c r="AT17" s="279"/>
      <c r="AU17" s="280">
        <f t="shared" si="19"/>
        <v>0</v>
      </c>
      <c r="AV17" s="280">
        <f t="shared" si="20"/>
        <v>0</v>
      </c>
      <c r="AW17" s="280">
        <f t="shared" si="21"/>
        <v>0</v>
      </c>
      <c r="AX17" s="280">
        <f t="shared" si="22"/>
        <v>0</v>
      </c>
      <c r="AY17" s="281">
        <v>0.25</v>
      </c>
      <c r="AZ17" s="282" t="s">
        <v>167</v>
      </c>
      <c r="BA17" s="283">
        <v>750000000</v>
      </c>
      <c r="BB17" s="279"/>
      <c r="BC17" s="279"/>
      <c r="BD17" s="281">
        <f t="shared" si="23"/>
        <v>0</v>
      </c>
      <c r="BE17" s="281">
        <f t="shared" si="24"/>
        <v>0</v>
      </c>
      <c r="BF17" s="281">
        <f t="shared" si="25"/>
        <v>0</v>
      </c>
      <c r="BG17" s="281">
        <f t="shared" si="26"/>
        <v>0</v>
      </c>
      <c r="BH17" s="205">
        <f t="shared" si="7"/>
        <v>0</v>
      </c>
      <c r="BI17" s="205">
        <f t="shared" si="8"/>
        <v>0</v>
      </c>
      <c r="BJ17" s="205">
        <f t="shared" si="9"/>
        <v>0</v>
      </c>
      <c r="BK17" s="205">
        <f t="shared" si="10"/>
        <v>0</v>
      </c>
      <c r="BL17" s="205">
        <f t="shared" si="27"/>
        <v>0</v>
      </c>
      <c r="BM17" s="205">
        <f t="shared" si="28"/>
        <v>0</v>
      </c>
      <c r="BN17" s="205">
        <f t="shared" si="11"/>
        <v>0</v>
      </c>
      <c r="BO17" s="205">
        <f t="shared" si="12"/>
        <v>0</v>
      </c>
      <c r="BP17" s="206"/>
      <c r="BQ17" s="277">
        <v>1</v>
      </c>
      <c r="BR17" s="208">
        <f t="shared" si="14"/>
        <v>0.58333333333333337</v>
      </c>
      <c r="BS17" s="219" t="str">
        <f t="shared" si="29"/>
        <v>Sentencias y Conciliaciones URA</v>
      </c>
      <c r="BT17" s="195">
        <f t="shared" si="13"/>
        <v>1750000000</v>
      </c>
      <c r="BU17" s="196"/>
      <c r="BV17" s="196"/>
      <c r="BW17" s="196"/>
      <c r="BX17" s="196"/>
      <c r="BY17" s="196"/>
      <c r="BZ17" s="19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row>
    <row r="18" spans="1:235" s="159" customFormat="1" ht="57" x14ac:dyDescent="0.25">
      <c r="A18" s="197">
        <v>11300</v>
      </c>
      <c r="B18" s="194" t="s">
        <v>4</v>
      </c>
      <c r="C18" s="198" t="s">
        <v>160</v>
      </c>
      <c r="D18" s="194" t="s">
        <v>145</v>
      </c>
      <c r="E18" s="198" t="s">
        <v>161</v>
      </c>
      <c r="F18" s="194" t="s">
        <v>162</v>
      </c>
      <c r="G18" s="209" t="s">
        <v>123</v>
      </c>
      <c r="H18" s="216">
        <v>1</v>
      </c>
      <c r="I18" s="198" t="s">
        <v>298</v>
      </c>
      <c r="J18" s="194" t="s">
        <v>163</v>
      </c>
      <c r="K18" s="210">
        <v>12016226455000</v>
      </c>
      <c r="L18" s="220">
        <v>0.28123295664530629</v>
      </c>
      <c r="M18" s="194" t="s">
        <v>46</v>
      </c>
      <c r="N18" s="194" t="s">
        <v>68</v>
      </c>
      <c r="O18" s="194" t="s">
        <v>21</v>
      </c>
      <c r="P18" s="194" t="s">
        <v>36</v>
      </c>
      <c r="Q18" s="194" t="s">
        <v>213</v>
      </c>
      <c r="R18" s="194" t="s">
        <v>182</v>
      </c>
      <c r="S18" s="194" t="s">
        <v>99</v>
      </c>
      <c r="T18" s="211">
        <v>1</v>
      </c>
      <c r="U18" s="212" t="str">
        <f t="shared" si="15"/>
        <v>Financiación UPC Régimen Contributivo SSF</v>
      </c>
      <c r="V18" s="213">
        <f t="shared" si="15"/>
        <v>12016226455000</v>
      </c>
      <c r="W18" s="214" t="s">
        <v>116</v>
      </c>
      <c r="X18" s="281">
        <v>0.25</v>
      </c>
      <c r="Y18" s="282" t="s">
        <v>163</v>
      </c>
      <c r="Z18" s="283">
        <v>3004056613750</v>
      </c>
      <c r="AA18" s="279"/>
      <c r="AB18" s="279"/>
      <c r="AC18" s="280">
        <f t="shared" si="16"/>
        <v>0</v>
      </c>
      <c r="AD18" s="280">
        <f t="shared" si="17"/>
        <v>0</v>
      </c>
      <c r="AE18" s="280">
        <f t="shared" si="0"/>
        <v>0</v>
      </c>
      <c r="AF18" s="280">
        <f t="shared" si="1"/>
        <v>0</v>
      </c>
      <c r="AG18" s="281">
        <v>0.25</v>
      </c>
      <c r="AH18" s="282" t="s">
        <v>163</v>
      </c>
      <c r="AI18" s="283">
        <v>3004056613750</v>
      </c>
      <c r="AJ18" s="279"/>
      <c r="AK18" s="279"/>
      <c r="AL18" s="280">
        <f t="shared" si="18"/>
        <v>0</v>
      </c>
      <c r="AM18" s="280">
        <f t="shared" si="2"/>
        <v>0</v>
      </c>
      <c r="AN18" s="280">
        <f t="shared" si="3"/>
        <v>0</v>
      </c>
      <c r="AO18" s="280">
        <f t="shared" si="4"/>
        <v>0</v>
      </c>
      <c r="AP18" s="281">
        <v>0.25</v>
      </c>
      <c r="AQ18" s="282" t="s">
        <v>163</v>
      </c>
      <c r="AR18" s="283">
        <v>3004056613750</v>
      </c>
      <c r="AS18" s="279"/>
      <c r="AT18" s="279"/>
      <c r="AU18" s="280">
        <f t="shared" si="19"/>
        <v>0</v>
      </c>
      <c r="AV18" s="280">
        <f t="shared" si="20"/>
        <v>0</v>
      </c>
      <c r="AW18" s="280">
        <f t="shared" si="21"/>
        <v>0</v>
      </c>
      <c r="AX18" s="280">
        <f t="shared" si="22"/>
        <v>0</v>
      </c>
      <c r="AY18" s="281">
        <v>0.25</v>
      </c>
      <c r="AZ18" s="282" t="s">
        <v>163</v>
      </c>
      <c r="BA18" s="283">
        <v>3004056613750</v>
      </c>
      <c r="BB18" s="279"/>
      <c r="BC18" s="279"/>
      <c r="BD18" s="281">
        <f t="shared" si="23"/>
        <v>0</v>
      </c>
      <c r="BE18" s="281">
        <f t="shared" si="24"/>
        <v>0</v>
      </c>
      <c r="BF18" s="281">
        <f t="shared" si="25"/>
        <v>0</v>
      </c>
      <c r="BG18" s="281">
        <f t="shared" si="26"/>
        <v>0</v>
      </c>
      <c r="BH18" s="205">
        <f t="shared" si="7"/>
        <v>0</v>
      </c>
      <c r="BI18" s="205">
        <f t="shared" si="8"/>
        <v>0</v>
      </c>
      <c r="BJ18" s="205">
        <f t="shared" si="9"/>
        <v>0</v>
      </c>
      <c r="BK18" s="205">
        <f t="shared" si="10"/>
        <v>0</v>
      </c>
      <c r="BL18" s="205">
        <f t="shared" si="27"/>
        <v>0</v>
      </c>
      <c r="BM18" s="205">
        <f t="shared" si="28"/>
        <v>0</v>
      </c>
      <c r="BN18" s="205">
        <f t="shared" si="11"/>
        <v>0</v>
      </c>
      <c r="BO18" s="205">
        <f t="shared" si="12"/>
        <v>0</v>
      </c>
      <c r="BP18" s="206"/>
      <c r="BQ18" s="277">
        <v>1</v>
      </c>
      <c r="BR18" s="208">
        <f t="shared" si="14"/>
        <v>0.58333333333333337</v>
      </c>
      <c r="BS18" s="219" t="str">
        <f t="shared" si="29"/>
        <v>Financiación UPC Régimen Contributivo SSF</v>
      </c>
      <c r="BT18" s="195">
        <f t="shared" si="13"/>
        <v>7009465432083.333</v>
      </c>
      <c r="BU18" s="196"/>
      <c r="BV18" s="196"/>
      <c r="BW18" s="196"/>
      <c r="BX18" s="196"/>
      <c r="BY18" s="196"/>
      <c r="BZ18" s="19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row>
    <row r="19" spans="1:235" s="159" customFormat="1" ht="57" x14ac:dyDescent="0.25">
      <c r="A19" s="197">
        <v>11300</v>
      </c>
      <c r="B19" s="194" t="s">
        <v>4</v>
      </c>
      <c r="C19" s="198" t="s">
        <v>160</v>
      </c>
      <c r="D19" s="194" t="s">
        <v>145</v>
      </c>
      <c r="E19" s="198" t="s">
        <v>161</v>
      </c>
      <c r="F19" s="194" t="s">
        <v>162</v>
      </c>
      <c r="G19" s="209" t="s">
        <v>123</v>
      </c>
      <c r="H19" s="216">
        <v>1</v>
      </c>
      <c r="I19" s="198" t="s">
        <v>299</v>
      </c>
      <c r="J19" s="194" t="s">
        <v>164</v>
      </c>
      <c r="K19" s="210">
        <v>9042819545000</v>
      </c>
      <c r="L19" s="220">
        <v>0.2116420563955087</v>
      </c>
      <c r="M19" s="194" t="s">
        <v>46</v>
      </c>
      <c r="N19" s="194" t="s">
        <v>68</v>
      </c>
      <c r="O19" s="194" t="s">
        <v>21</v>
      </c>
      <c r="P19" s="194" t="s">
        <v>36</v>
      </c>
      <c r="Q19" s="194" t="s">
        <v>213</v>
      </c>
      <c r="R19" s="194" t="s">
        <v>182</v>
      </c>
      <c r="S19" s="194" t="s">
        <v>99</v>
      </c>
      <c r="T19" s="211">
        <v>1</v>
      </c>
      <c r="U19" s="212" t="str">
        <f t="shared" si="15"/>
        <v>Financiación UPC Régimen Contributivo CSF</v>
      </c>
      <c r="V19" s="213">
        <f t="shared" si="15"/>
        <v>9042819545000</v>
      </c>
      <c r="W19" s="214" t="s">
        <v>116</v>
      </c>
      <c r="X19" s="281">
        <v>0.25</v>
      </c>
      <c r="Y19" s="282" t="s">
        <v>164</v>
      </c>
      <c r="Z19" s="283">
        <v>2260704886250</v>
      </c>
      <c r="AA19" s="279"/>
      <c r="AB19" s="279"/>
      <c r="AC19" s="280">
        <f t="shared" si="16"/>
        <v>0</v>
      </c>
      <c r="AD19" s="280">
        <f t="shared" si="17"/>
        <v>0</v>
      </c>
      <c r="AE19" s="280">
        <f t="shared" si="0"/>
        <v>0</v>
      </c>
      <c r="AF19" s="280">
        <f t="shared" si="1"/>
        <v>0</v>
      </c>
      <c r="AG19" s="281">
        <v>0.25</v>
      </c>
      <c r="AH19" s="282" t="s">
        <v>164</v>
      </c>
      <c r="AI19" s="283">
        <v>2260704886250</v>
      </c>
      <c r="AJ19" s="279"/>
      <c r="AK19" s="279"/>
      <c r="AL19" s="280">
        <f t="shared" si="18"/>
        <v>0</v>
      </c>
      <c r="AM19" s="280">
        <f t="shared" si="2"/>
        <v>0</v>
      </c>
      <c r="AN19" s="280">
        <f t="shared" si="3"/>
        <v>0</v>
      </c>
      <c r="AO19" s="280">
        <f t="shared" si="4"/>
        <v>0</v>
      </c>
      <c r="AP19" s="281">
        <v>0.25</v>
      </c>
      <c r="AQ19" s="282" t="s">
        <v>164</v>
      </c>
      <c r="AR19" s="283">
        <v>2260704886250</v>
      </c>
      <c r="AS19" s="279"/>
      <c r="AT19" s="279"/>
      <c r="AU19" s="280">
        <f t="shared" si="19"/>
        <v>0</v>
      </c>
      <c r="AV19" s="280">
        <f t="shared" si="20"/>
        <v>0</v>
      </c>
      <c r="AW19" s="280">
        <f t="shared" si="21"/>
        <v>0</v>
      </c>
      <c r="AX19" s="280">
        <f t="shared" si="22"/>
        <v>0</v>
      </c>
      <c r="AY19" s="281">
        <v>0.25</v>
      </c>
      <c r="AZ19" s="282" t="s">
        <v>164</v>
      </c>
      <c r="BA19" s="283">
        <v>2260704886250</v>
      </c>
      <c r="BB19" s="279"/>
      <c r="BC19" s="279"/>
      <c r="BD19" s="281">
        <f t="shared" si="23"/>
        <v>0</v>
      </c>
      <c r="BE19" s="281">
        <f t="shared" si="24"/>
        <v>0</v>
      </c>
      <c r="BF19" s="281">
        <f t="shared" si="25"/>
        <v>0</v>
      </c>
      <c r="BG19" s="281">
        <f t="shared" si="26"/>
        <v>0</v>
      </c>
      <c r="BH19" s="205">
        <f t="shared" si="7"/>
        <v>0</v>
      </c>
      <c r="BI19" s="205">
        <f t="shared" si="8"/>
        <v>0</v>
      </c>
      <c r="BJ19" s="205">
        <f t="shared" si="9"/>
        <v>0</v>
      </c>
      <c r="BK19" s="205">
        <f t="shared" si="10"/>
        <v>0</v>
      </c>
      <c r="BL19" s="205">
        <f t="shared" si="27"/>
        <v>0</v>
      </c>
      <c r="BM19" s="205">
        <f t="shared" si="28"/>
        <v>0</v>
      </c>
      <c r="BN19" s="205">
        <f t="shared" si="11"/>
        <v>0</v>
      </c>
      <c r="BO19" s="205">
        <f t="shared" si="12"/>
        <v>0</v>
      </c>
      <c r="BP19" s="206"/>
      <c r="BQ19" s="277">
        <v>1</v>
      </c>
      <c r="BR19" s="208">
        <f t="shared" si="14"/>
        <v>0.58333333333333337</v>
      </c>
      <c r="BS19" s="219" t="str">
        <f t="shared" si="29"/>
        <v>Financiación UPC Régimen Contributivo CSF</v>
      </c>
      <c r="BT19" s="195">
        <f t="shared" si="13"/>
        <v>5274978067916.667</v>
      </c>
      <c r="BU19" s="196"/>
      <c r="BV19" s="196"/>
      <c r="BW19" s="196"/>
      <c r="BX19" s="196"/>
      <c r="BY19" s="196"/>
      <c r="BZ19" s="19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row>
    <row r="20" spans="1:235" s="159" customFormat="1" ht="57" x14ac:dyDescent="0.25">
      <c r="A20" s="197">
        <v>11300</v>
      </c>
      <c r="B20" s="194" t="s">
        <v>4</v>
      </c>
      <c r="C20" s="198" t="s">
        <v>160</v>
      </c>
      <c r="D20" s="194" t="s">
        <v>145</v>
      </c>
      <c r="E20" s="198" t="s">
        <v>161</v>
      </c>
      <c r="F20" s="194" t="s">
        <v>162</v>
      </c>
      <c r="G20" s="209" t="s">
        <v>123</v>
      </c>
      <c r="H20" s="216">
        <v>1</v>
      </c>
      <c r="I20" s="198" t="s">
        <v>300</v>
      </c>
      <c r="J20" s="194" t="s">
        <v>173</v>
      </c>
      <c r="K20" s="210">
        <v>80000000000</v>
      </c>
      <c r="L20" s="220">
        <v>1.8723545712025702E-3</v>
      </c>
      <c r="M20" s="194" t="s">
        <v>46</v>
      </c>
      <c r="N20" s="194" t="s">
        <v>68</v>
      </c>
      <c r="O20" s="194" t="s">
        <v>21</v>
      </c>
      <c r="P20" s="194" t="s">
        <v>36</v>
      </c>
      <c r="Q20" s="194" t="s">
        <v>213</v>
      </c>
      <c r="R20" s="194" t="s">
        <v>182</v>
      </c>
      <c r="S20" s="194" t="s">
        <v>99</v>
      </c>
      <c r="T20" s="211">
        <v>1</v>
      </c>
      <c r="U20" s="212" t="str">
        <f t="shared" si="15"/>
        <v>Devolución de Aportes y Cotizaciones no conciliadas de vigencias anteriores</v>
      </c>
      <c r="V20" s="213">
        <f t="shared" si="15"/>
        <v>80000000000</v>
      </c>
      <c r="W20" s="214" t="s">
        <v>116</v>
      </c>
      <c r="X20" s="281">
        <v>0.25</v>
      </c>
      <c r="Y20" s="282" t="s">
        <v>173</v>
      </c>
      <c r="Z20" s="283">
        <v>20000000000</v>
      </c>
      <c r="AA20" s="279"/>
      <c r="AB20" s="279"/>
      <c r="AC20" s="280">
        <f t="shared" si="16"/>
        <v>0</v>
      </c>
      <c r="AD20" s="280">
        <f t="shared" si="17"/>
        <v>0</v>
      </c>
      <c r="AE20" s="280">
        <f t="shared" si="0"/>
        <v>0</v>
      </c>
      <c r="AF20" s="280">
        <f t="shared" si="1"/>
        <v>0</v>
      </c>
      <c r="AG20" s="281">
        <v>0.25</v>
      </c>
      <c r="AH20" s="282" t="s">
        <v>173</v>
      </c>
      <c r="AI20" s="283">
        <v>20000000000</v>
      </c>
      <c r="AJ20" s="279"/>
      <c r="AK20" s="279"/>
      <c r="AL20" s="280">
        <f t="shared" si="18"/>
        <v>0</v>
      </c>
      <c r="AM20" s="280">
        <f t="shared" si="2"/>
        <v>0</v>
      </c>
      <c r="AN20" s="280">
        <f t="shared" si="3"/>
        <v>0</v>
      </c>
      <c r="AO20" s="280">
        <f t="shared" si="4"/>
        <v>0</v>
      </c>
      <c r="AP20" s="281">
        <v>0.25</v>
      </c>
      <c r="AQ20" s="282" t="s">
        <v>173</v>
      </c>
      <c r="AR20" s="283">
        <v>20000000000</v>
      </c>
      <c r="AS20" s="279"/>
      <c r="AT20" s="279"/>
      <c r="AU20" s="280">
        <f t="shared" si="19"/>
        <v>0</v>
      </c>
      <c r="AV20" s="280">
        <f t="shared" si="20"/>
        <v>0</v>
      </c>
      <c r="AW20" s="280">
        <f t="shared" si="21"/>
        <v>0</v>
      </c>
      <c r="AX20" s="280">
        <f t="shared" si="22"/>
        <v>0</v>
      </c>
      <c r="AY20" s="281">
        <v>0.25</v>
      </c>
      <c r="AZ20" s="282" t="s">
        <v>173</v>
      </c>
      <c r="BA20" s="283">
        <v>20000000000</v>
      </c>
      <c r="BB20" s="279"/>
      <c r="BC20" s="279"/>
      <c r="BD20" s="281">
        <f t="shared" si="23"/>
        <v>0</v>
      </c>
      <c r="BE20" s="281">
        <f t="shared" si="24"/>
        <v>0</v>
      </c>
      <c r="BF20" s="281">
        <f t="shared" si="25"/>
        <v>0</v>
      </c>
      <c r="BG20" s="281">
        <f t="shared" si="26"/>
        <v>0</v>
      </c>
      <c r="BH20" s="205">
        <f t="shared" si="7"/>
        <v>0</v>
      </c>
      <c r="BI20" s="205">
        <f t="shared" si="8"/>
        <v>0</v>
      </c>
      <c r="BJ20" s="205">
        <f t="shared" si="9"/>
        <v>0</v>
      </c>
      <c r="BK20" s="205">
        <f t="shared" si="10"/>
        <v>0</v>
      </c>
      <c r="BL20" s="205">
        <f t="shared" si="27"/>
        <v>0</v>
      </c>
      <c r="BM20" s="205">
        <f t="shared" si="28"/>
        <v>0</v>
      </c>
      <c r="BN20" s="205">
        <f t="shared" si="11"/>
        <v>0</v>
      </c>
      <c r="BO20" s="205">
        <f t="shared" si="12"/>
        <v>0</v>
      </c>
      <c r="BP20" s="206"/>
      <c r="BQ20" s="277">
        <v>1</v>
      </c>
      <c r="BR20" s="208">
        <f t="shared" si="14"/>
        <v>0.58333333333333337</v>
      </c>
      <c r="BS20" s="219" t="str">
        <f t="shared" si="29"/>
        <v>Devolución de Aportes y Cotizaciones no conciliadas de vigencias anteriores</v>
      </c>
      <c r="BT20" s="195">
        <f t="shared" si="13"/>
        <v>46666666666.666664</v>
      </c>
      <c r="BU20" s="196"/>
      <c r="BV20" s="196"/>
      <c r="BW20" s="196"/>
      <c r="BX20" s="196"/>
      <c r="BY20" s="196"/>
      <c r="BZ20" s="19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row>
    <row r="21" spans="1:235" s="159" customFormat="1" ht="57" x14ac:dyDescent="0.25">
      <c r="A21" s="197">
        <v>11300</v>
      </c>
      <c r="B21" s="194" t="s">
        <v>4</v>
      </c>
      <c r="C21" s="198" t="s">
        <v>160</v>
      </c>
      <c r="D21" s="194" t="s">
        <v>145</v>
      </c>
      <c r="E21" s="198" t="s">
        <v>161</v>
      </c>
      <c r="F21" s="194" t="s">
        <v>162</v>
      </c>
      <c r="G21" s="209" t="s">
        <v>123</v>
      </c>
      <c r="H21" s="216">
        <v>1</v>
      </c>
      <c r="I21" s="198" t="s">
        <v>301</v>
      </c>
      <c r="J21" s="194" t="s">
        <v>174</v>
      </c>
      <c r="K21" s="210">
        <v>7000000000</v>
      </c>
      <c r="L21" s="220">
        <v>1.6383102498022489E-4</v>
      </c>
      <c r="M21" s="194" t="s">
        <v>46</v>
      </c>
      <c r="N21" s="194" t="s">
        <v>68</v>
      </c>
      <c r="O21" s="194" t="s">
        <v>21</v>
      </c>
      <c r="P21" s="194" t="s">
        <v>36</v>
      </c>
      <c r="Q21" s="194" t="s">
        <v>213</v>
      </c>
      <c r="R21" s="194" t="s">
        <v>182</v>
      </c>
      <c r="S21" s="194" t="s">
        <v>99</v>
      </c>
      <c r="T21" s="211">
        <v>1</v>
      </c>
      <c r="U21" s="212" t="str">
        <f t="shared" si="15"/>
        <v>Rendimientos Financieros saldo de Aportes Patronales no compensados - Art, 12 Decreto 1363 de 2016</v>
      </c>
      <c r="V21" s="213">
        <f t="shared" si="15"/>
        <v>7000000000</v>
      </c>
      <c r="W21" s="214" t="s">
        <v>116</v>
      </c>
      <c r="X21" s="281">
        <v>0.25</v>
      </c>
      <c r="Y21" s="282" t="s">
        <v>174</v>
      </c>
      <c r="Z21" s="283">
        <v>1750000000</v>
      </c>
      <c r="AA21" s="279"/>
      <c r="AB21" s="279"/>
      <c r="AC21" s="280">
        <f t="shared" si="16"/>
        <v>0</v>
      </c>
      <c r="AD21" s="280">
        <f t="shared" si="17"/>
        <v>0</v>
      </c>
      <c r="AE21" s="280">
        <f t="shared" si="0"/>
        <v>0</v>
      </c>
      <c r="AF21" s="280">
        <f t="shared" si="1"/>
        <v>0</v>
      </c>
      <c r="AG21" s="281">
        <v>0.25</v>
      </c>
      <c r="AH21" s="282" t="s">
        <v>174</v>
      </c>
      <c r="AI21" s="283">
        <v>1750000000</v>
      </c>
      <c r="AJ21" s="279"/>
      <c r="AK21" s="279"/>
      <c r="AL21" s="280">
        <f t="shared" si="18"/>
        <v>0</v>
      </c>
      <c r="AM21" s="280">
        <f t="shared" si="2"/>
        <v>0</v>
      </c>
      <c r="AN21" s="280">
        <f t="shared" si="3"/>
        <v>0</v>
      </c>
      <c r="AO21" s="280">
        <f t="shared" si="4"/>
        <v>0</v>
      </c>
      <c r="AP21" s="281">
        <v>0.25</v>
      </c>
      <c r="AQ21" s="282" t="s">
        <v>174</v>
      </c>
      <c r="AR21" s="283">
        <v>1750000000</v>
      </c>
      <c r="AS21" s="279"/>
      <c r="AT21" s="279"/>
      <c r="AU21" s="280">
        <f t="shared" si="19"/>
        <v>0</v>
      </c>
      <c r="AV21" s="280">
        <f t="shared" si="20"/>
        <v>0</v>
      </c>
      <c r="AW21" s="280">
        <f t="shared" si="21"/>
        <v>0</v>
      </c>
      <c r="AX21" s="280">
        <f t="shared" si="22"/>
        <v>0</v>
      </c>
      <c r="AY21" s="281">
        <v>0.25</v>
      </c>
      <c r="AZ21" s="282" t="s">
        <v>174</v>
      </c>
      <c r="BA21" s="283">
        <v>1750000000</v>
      </c>
      <c r="BB21" s="279"/>
      <c r="BC21" s="279"/>
      <c r="BD21" s="281">
        <f t="shared" si="23"/>
        <v>0</v>
      </c>
      <c r="BE21" s="281">
        <f t="shared" si="24"/>
        <v>0</v>
      </c>
      <c r="BF21" s="281">
        <f t="shared" si="25"/>
        <v>0</v>
      </c>
      <c r="BG21" s="281">
        <f t="shared" si="26"/>
        <v>0</v>
      </c>
      <c r="BH21" s="205">
        <f t="shared" si="7"/>
        <v>0</v>
      </c>
      <c r="BI21" s="205">
        <f t="shared" si="8"/>
        <v>0</v>
      </c>
      <c r="BJ21" s="205">
        <f t="shared" si="9"/>
        <v>0</v>
      </c>
      <c r="BK21" s="205">
        <f t="shared" si="10"/>
        <v>0</v>
      </c>
      <c r="BL21" s="205">
        <f t="shared" si="27"/>
        <v>0</v>
      </c>
      <c r="BM21" s="205">
        <f t="shared" si="28"/>
        <v>0</v>
      </c>
      <c r="BN21" s="205">
        <f t="shared" si="11"/>
        <v>0</v>
      </c>
      <c r="BO21" s="205">
        <f t="shared" si="12"/>
        <v>0</v>
      </c>
      <c r="BP21" s="206"/>
      <c r="BQ21" s="277">
        <v>1</v>
      </c>
      <c r="BR21" s="208">
        <f t="shared" si="14"/>
        <v>0.58333333333333337</v>
      </c>
      <c r="BS21" s="219" t="str">
        <f t="shared" si="29"/>
        <v>Rendimientos Financieros saldo de Aportes Patronales no compensados - Art, 12 Decreto 1363 de 2016</v>
      </c>
      <c r="BT21" s="195">
        <f t="shared" si="13"/>
        <v>4083333333.3333335</v>
      </c>
      <c r="BU21" s="196"/>
      <c r="BV21" s="196"/>
      <c r="BW21" s="196"/>
      <c r="BX21" s="196"/>
      <c r="BY21" s="196"/>
      <c r="BZ21" s="19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row>
    <row r="22" spans="1:235" s="159" customFormat="1" ht="57" x14ac:dyDescent="0.25">
      <c r="A22" s="197">
        <v>11300</v>
      </c>
      <c r="B22" s="194" t="s">
        <v>4</v>
      </c>
      <c r="C22" s="198" t="s">
        <v>160</v>
      </c>
      <c r="D22" s="194" t="s">
        <v>145</v>
      </c>
      <c r="E22" s="198" t="s">
        <v>161</v>
      </c>
      <c r="F22" s="194" t="s">
        <v>162</v>
      </c>
      <c r="G22" s="209" t="s">
        <v>123</v>
      </c>
      <c r="H22" s="216">
        <v>1</v>
      </c>
      <c r="I22" s="198" t="s">
        <v>302</v>
      </c>
      <c r="J22" s="194" t="s">
        <v>757</v>
      </c>
      <c r="K22" s="210">
        <v>483767006000</v>
      </c>
      <c r="L22" s="220">
        <v>1.1322292063513515E-2</v>
      </c>
      <c r="M22" s="194" t="s">
        <v>46</v>
      </c>
      <c r="N22" s="194" t="s">
        <v>68</v>
      </c>
      <c r="O22" s="194" t="s">
        <v>21</v>
      </c>
      <c r="P22" s="194" t="s">
        <v>36</v>
      </c>
      <c r="Q22" s="194" t="s">
        <v>213</v>
      </c>
      <c r="R22" s="194" t="s">
        <v>182</v>
      </c>
      <c r="S22" s="194" t="s">
        <v>99</v>
      </c>
      <c r="T22" s="211">
        <v>1</v>
      </c>
      <c r="U22" s="212" t="str">
        <f t="shared" si="15"/>
        <v>Per cápita Programas de Promoción y Prevención</v>
      </c>
      <c r="V22" s="213">
        <f t="shared" si="15"/>
        <v>483767006000</v>
      </c>
      <c r="W22" s="214" t="s">
        <v>116</v>
      </c>
      <c r="X22" s="281">
        <v>0.25</v>
      </c>
      <c r="Y22" s="282" t="s">
        <v>68</v>
      </c>
      <c r="Z22" s="283">
        <v>120941751500</v>
      </c>
      <c r="AA22" s="279"/>
      <c r="AB22" s="279"/>
      <c r="AC22" s="280">
        <f t="shared" si="16"/>
        <v>0</v>
      </c>
      <c r="AD22" s="280">
        <f t="shared" si="17"/>
        <v>0</v>
      </c>
      <c r="AE22" s="280">
        <f t="shared" si="0"/>
        <v>0</v>
      </c>
      <c r="AF22" s="280">
        <f t="shared" si="1"/>
        <v>0</v>
      </c>
      <c r="AG22" s="281">
        <v>0.25</v>
      </c>
      <c r="AH22" s="282">
        <v>483767006000</v>
      </c>
      <c r="AI22" s="283">
        <v>120941751500</v>
      </c>
      <c r="AJ22" s="279"/>
      <c r="AK22" s="279"/>
      <c r="AL22" s="280">
        <f t="shared" si="18"/>
        <v>0</v>
      </c>
      <c r="AM22" s="280">
        <f t="shared" si="2"/>
        <v>0</v>
      </c>
      <c r="AN22" s="280">
        <f t="shared" si="3"/>
        <v>0</v>
      </c>
      <c r="AO22" s="280">
        <f t="shared" si="4"/>
        <v>0</v>
      </c>
      <c r="AP22" s="281">
        <v>0.25</v>
      </c>
      <c r="AQ22" s="282">
        <v>0</v>
      </c>
      <c r="AR22" s="283">
        <v>120941751500</v>
      </c>
      <c r="AS22" s="279"/>
      <c r="AT22" s="279"/>
      <c r="AU22" s="280">
        <f t="shared" si="19"/>
        <v>0</v>
      </c>
      <c r="AV22" s="280">
        <f t="shared" si="20"/>
        <v>0</v>
      </c>
      <c r="AW22" s="280">
        <f t="shared" si="21"/>
        <v>0</v>
      </c>
      <c r="AX22" s="280">
        <f t="shared" si="22"/>
        <v>0</v>
      </c>
      <c r="AY22" s="281">
        <v>0.25</v>
      </c>
      <c r="AZ22" s="282">
        <v>0</v>
      </c>
      <c r="BA22" s="283">
        <v>120941751500</v>
      </c>
      <c r="BB22" s="279"/>
      <c r="BC22" s="279"/>
      <c r="BD22" s="281">
        <f t="shared" si="23"/>
        <v>0</v>
      </c>
      <c r="BE22" s="281">
        <f t="shared" si="24"/>
        <v>0</v>
      </c>
      <c r="BF22" s="281">
        <f t="shared" si="25"/>
        <v>0</v>
      </c>
      <c r="BG22" s="281">
        <f t="shared" si="26"/>
        <v>0</v>
      </c>
      <c r="BH22" s="205">
        <f t="shared" si="7"/>
        <v>0</v>
      </c>
      <c r="BI22" s="205">
        <f t="shared" si="8"/>
        <v>0</v>
      </c>
      <c r="BJ22" s="205">
        <f t="shared" si="9"/>
        <v>0</v>
      </c>
      <c r="BK22" s="205">
        <f t="shared" si="10"/>
        <v>0</v>
      </c>
      <c r="BL22" s="205">
        <f t="shared" si="27"/>
        <v>0</v>
      </c>
      <c r="BM22" s="205">
        <f t="shared" si="28"/>
        <v>0</v>
      </c>
      <c r="BN22" s="205">
        <f t="shared" si="11"/>
        <v>0</v>
      </c>
      <c r="BO22" s="205">
        <f t="shared" si="12"/>
        <v>0</v>
      </c>
      <c r="BP22" s="206"/>
      <c r="BQ22" s="277">
        <v>1</v>
      </c>
      <c r="BR22" s="208">
        <f t="shared" si="14"/>
        <v>0.58333333333333337</v>
      </c>
      <c r="BS22" s="219" t="str">
        <f t="shared" si="29"/>
        <v>Per cápita Programas de Promoción y Prevención</v>
      </c>
      <c r="BT22" s="195">
        <f t="shared" si="13"/>
        <v>282197420166.66669</v>
      </c>
      <c r="BU22" s="196"/>
      <c r="BV22" s="196"/>
      <c r="BW22" s="196"/>
      <c r="BX22" s="196"/>
      <c r="BY22" s="196"/>
      <c r="BZ22" s="19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row>
    <row r="23" spans="1:235" s="159" customFormat="1" ht="57" x14ac:dyDescent="0.25">
      <c r="A23" s="197">
        <v>11300</v>
      </c>
      <c r="B23" s="194" t="s">
        <v>4</v>
      </c>
      <c r="C23" s="198" t="s">
        <v>160</v>
      </c>
      <c r="D23" s="194" t="s">
        <v>145</v>
      </c>
      <c r="E23" s="198" t="s">
        <v>161</v>
      </c>
      <c r="F23" s="194" t="s">
        <v>162</v>
      </c>
      <c r="G23" s="209" t="s">
        <v>123</v>
      </c>
      <c r="H23" s="216">
        <v>1</v>
      </c>
      <c r="I23" s="198" t="s">
        <v>303</v>
      </c>
      <c r="J23" s="194" t="s">
        <v>168</v>
      </c>
      <c r="K23" s="210">
        <v>799680177000</v>
      </c>
      <c r="L23" s="220">
        <v>1.8716060436325382E-2</v>
      </c>
      <c r="M23" s="194" t="s">
        <v>46</v>
      </c>
      <c r="N23" s="194" t="s">
        <v>68</v>
      </c>
      <c r="O23" s="194" t="s">
        <v>21</v>
      </c>
      <c r="P23" s="194" t="s">
        <v>36</v>
      </c>
      <c r="Q23" s="194" t="s">
        <v>213</v>
      </c>
      <c r="R23" s="194" t="s">
        <v>182</v>
      </c>
      <c r="S23" s="194" t="s">
        <v>99</v>
      </c>
      <c r="T23" s="211">
        <v>1</v>
      </c>
      <c r="U23" s="212" t="str">
        <f t="shared" si="15"/>
        <v>Incapacidades</v>
      </c>
      <c r="V23" s="213">
        <f t="shared" si="15"/>
        <v>799680177000</v>
      </c>
      <c r="W23" s="214" t="s">
        <v>116</v>
      </c>
      <c r="X23" s="281">
        <v>0.25</v>
      </c>
      <c r="Y23" s="282" t="s">
        <v>168</v>
      </c>
      <c r="Z23" s="283">
        <v>199920044250</v>
      </c>
      <c r="AA23" s="279"/>
      <c r="AB23" s="279"/>
      <c r="AC23" s="280">
        <f t="shared" si="16"/>
        <v>0</v>
      </c>
      <c r="AD23" s="280">
        <f t="shared" si="17"/>
        <v>0</v>
      </c>
      <c r="AE23" s="280">
        <f t="shared" si="0"/>
        <v>0</v>
      </c>
      <c r="AF23" s="280">
        <f t="shared" si="1"/>
        <v>0</v>
      </c>
      <c r="AG23" s="281">
        <v>0.25</v>
      </c>
      <c r="AH23" s="282" t="s">
        <v>168</v>
      </c>
      <c r="AI23" s="283">
        <v>199920044250</v>
      </c>
      <c r="AJ23" s="279"/>
      <c r="AK23" s="279"/>
      <c r="AL23" s="280">
        <f t="shared" si="18"/>
        <v>0</v>
      </c>
      <c r="AM23" s="280">
        <f t="shared" si="2"/>
        <v>0</v>
      </c>
      <c r="AN23" s="280">
        <f t="shared" si="3"/>
        <v>0</v>
      </c>
      <c r="AO23" s="280">
        <f t="shared" si="4"/>
        <v>0</v>
      </c>
      <c r="AP23" s="281">
        <v>0.25</v>
      </c>
      <c r="AQ23" s="282" t="s">
        <v>168</v>
      </c>
      <c r="AR23" s="283">
        <v>199920044250</v>
      </c>
      <c r="AS23" s="279"/>
      <c r="AT23" s="279"/>
      <c r="AU23" s="280">
        <f t="shared" si="19"/>
        <v>0</v>
      </c>
      <c r="AV23" s="280">
        <f t="shared" si="20"/>
        <v>0</v>
      </c>
      <c r="AW23" s="280">
        <f t="shared" si="21"/>
        <v>0</v>
      </c>
      <c r="AX23" s="280">
        <f t="shared" si="22"/>
        <v>0</v>
      </c>
      <c r="AY23" s="281">
        <v>0.25</v>
      </c>
      <c r="AZ23" s="282" t="s">
        <v>168</v>
      </c>
      <c r="BA23" s="283">
        <v>199920044250</v>
      </c>
      <c r="BB23" s="279"/>
      <c r="BC23" s="279"/>
      <c r="BD23" s="281">
        <f t="shared" si="23"/>
        <v>0</v>
      </c>
      <c r="BE23" s="281">
        <f t="shared" si="24"/>
        <v>0</v>
      </c>
      <c r="BF23" s="281">
        <f t="shared" si="25"/>
        <v>0</v>
      </c>
      <c r="BG23" s="281">
        <f t="shared" si="26"/>
        <v>0</v>
      </c>
      <c r="BH23" s="205">
        <f t="shared" si="7"/>
        <v>0</v>
      </c>
      <c r="BI23" s="205">
        <f t="shared" si="8"/>
        <v>0</v>
      </c>
      <c r="BJ23" s="205">
        <f t="shared" si="9"/>
        <v>0</v>
      </c>
      <c r="BK23" s="205">
        <f t="shared" si="10"/>
        <v>0</v>
      </c>
      <c r="BL23" s="205">
        <f t="shared" si="27"/>
        <v>0</v>
      </c>
      <c r="BM23" s="205">
        <f t="shared" si="28"/>
        <v>0</v>
      </c>
      <c r="BN23" s="205">
        <f t="shared" si="11"/>
        <v>0</v>
      </c>
      <c r="BO23" s="205">
        <f t="shared" si="12"/>
        <v>0</v>
      </c>
      <c r="BP23" s="206"/>
      <c r="BQ23" s="277">
        <v>1</v>
      </c>
      <c r="BR23" s="208">
        <f t="shared" si="14"/>
        <v>0.58333333333333337</v>
      </c>
      <c r="BS23" s="219" t="str">
        <f t="shared" si="29"/>
        <v>Incapacidades</v>
      </c>
      <c r="BT23" s="195">
        <f t="shared" si="13"/>
        <v>466480103250</v>
      </c>
      <c r="BU23" s="196"/>
      <c r="BV23" s="196"/>
      <c r="BW23" s="196"/>
      <c r="BX23" s="196"/>
      <c r="BY23" s="196"/>
      <c r="BZ23" s="19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row>
    <row r="24" spans="1:235" s="159" customFormat="1" ht="57" x14ac:dyDescent="0.25">
      <c r="A24" s="197">
        <v>11300</v>
      </c>
      <c r="B24" s="194" t="s">
        <v>4</v>
      </c>
      <c r="C24" s="198" t="s">
        <v>160</v>
      </c>
      <c r="D24" s="194" t="s">
        <v>145</v>
      </c>
      <c r="E24" s="198" t="s">
        <v>161</v>
      </c>
      <c r="F24" s="194" t="s">
        <v>162</v>
      </c>
      <c r="G24" s="209" t="s">
        <v>123</v>
      </c>
      <c r="H24" s="216">
        <v>1</v>
      </c>
      <c r="I24" s="198" t="s">
        <v>304</v>
      </c>
      <c r="J24" s="194" t="s">
        <v>169</v>
      </c>
      <c r="K24" s="210">
        <v>720776535000</v>
      </c>
      <c r="L24" s="220">
        <v>1.6869365501534991E-2</v>
      </c>
      <c r="M24" s="194" t="s">
        <v>46</v>
      </c>
      <c r="N24" s="194" t="s">
        <v>68</v>
      </c>
      <c r="O24" s="194" t="s">
        <v>21</v>
      </c>
      <c r="P24" s="194" t="s">
        <v>36</v>
      </c>
      <c r="Q24" s="194" t="s">
        <v>213</v>
      </c>
      <c r="R24" s="194" t="s">
        <v>182</v>
      </c>
      <c r="S24" s="194" t="s">
        <v>99</v>
      </c>
      <c r="T24" s="211">
        <v>1</v>
      </c>
      <c r="U24" s="212" t="str">
        <f t="shared" si="15"/>
        <v>Licencias de Maternidad y Paternidad</v>
      </c>
      <c r="V24" s="213">
        <f t="shared" si="15"/>
        <v>720776535000</v>
      </c>
      <c r="W24" s="214" t="s">
        <v>116</v>
      </c>
      <c r="X24" s="281">
        <v>0.25</v>
      </c>
      <c r="Y24" s="282" t="s">
        <v>169</v>
      </c>
      <c r="Z24" s="283">
        <v>180194133750</v>
      </c>
      <c r="AA24" s="279"/>
      <c r="AB24" s="279"/>
      <c r="AC24" s="280">
        <f t="shared" si="16"/>
        <v>0</v>
      </c>
      <c r="AD24" s="280">
        <f t="shared" si="17"/>
        <v>0</v>
      </c>
      <c r="AE24" s="280">
        <f t="shared" si="0"/>
        <v>0</v>
      </c>
      <c r="AF24" s="280">
        <f t="shared" si="1"/>
        <v>0</v>
      </c>
      <c r="AG24" s="281">
        <v>0.25</v>
      </c>
      <c r="AH24" s="282" t="s">
        <v>169</v>
      </c>
      <c r="AI24" s="283">
        <v>180194133750</v>
      </c>
      <c r="AJ24" s="279"/>
      <c r="AK24" s="279"/>
      <c r="AL24" s="280">
        <f t="shared" si="18"/>
        <v>0</v>
      </c>
      <c r="AM24" s="280">
        <f t="shared" si="2"/>
        <v>0</v>
      </c>
      <c r="AN24" s="280">
        <f t="shared" si="3"/>
        <v>0</v>
      </c>
      <c r="AO24" s="280">
        <f t="shared" si="4"/>
        <v>0</v>
      </c>
      <c r="AP24" s="281">
        <v>0.25</v>
      </c>
      <c r="AQ24" s="282" t="s">
        <v>169</v>
      </c>
      <c r="AR24" s="283">
        <v>180194133750</v>
      </c>
      <c r="AS24" s="279"/>
      <c r="AT24" s="279"/>
      <c r="AU24" s="280">
        <f t="shared" si="19"/>
        <v>0</v>
      </c>
      <c r="AV24" s="280">
        <f t="shared" si="20"/>
        <v>0</v>
      </c>
      <c r="AW24" s="280">
        <f t="shared" si="21"/>
        <v>0</v>
      </c>
      <c r="AX24" s="280">
        <f t="shared" si="22"/>
        <v>0</v>
      </c>
      <c r="AY24" s="281">
        <v>0.25</v>
      </c>
      <c r="AZ24" s="282" t="s">
        <v>169</v>
      </c>
      <c r="BA24" s="283">
        <v>180194133750</v>
      </c>
      <c r="BB24" s="279"/>
      <c r="BC24" s="279"/>
      <c r="BD24" s="281">
        <f t="shared" si="23"/>
        <v>0</v>
      </c>
      <c r="BE24" s="281">
        <f t="shared" si="24"/>
        <v>0</v>
      </c>
      <c r="BF24" s="281">
        <f t="shared" si="25"/>
        <v>0</v>
      </c>
      <c r="BG24" s="281">
        <f t="shared" si="26"/>
        <v>0</v>
      </c>
      <c r="BH24" s="205">
        <f t="shared" si="7"/>
        <v>0</v>
      </c>
      <c r="BI24" s="205">
        <f t="shared" si="8"/>
        <v>0</v>
      </c>
      <c r="BJ24" s="205">
        <f t="shared" si="9"/>
        <v>0</v>
      </c>
      <c r="BK24" s="205">
        <f t="shared" si="10"/>
        <v>0</v>
      </c>
      <c r="BL24" s="205">
        <f t="shared" si="27"/>
        <v>0</v>
      </c>
      <c r="BM24" s="205">
        <f t="shared" si="28"/>
        <v>0</v>
      </c>
      <c r="BN24" s="205">
        <f t="shared" si="11"/>
        <v>0</v>
      </c>
      <c r="BO24" s="205">
        <f t="shared" si="12"/>
        <v>0</v>
      </c>
      <c r="BP24" s="206"/>
      <c r="BQ24" s="277">
        <v>1</v>
      </c>
      <c r="BR24" s="208">
        <f t="shared" si="14"/>
        <v>0.58333333333333337</v>
      </c>
      <c r="BS24" s="219" t="str">
        <f t="shared" si="29"/>
        <v>Licencias de Maternidad y Paternidad</v>
      </c>
      <c r="BT24" s="195">
        <f t="shared" si="13"/>
        <v>420452978750</v>
      </c>
      <c r="BU24" s="196"/>
      <c r="BV24" s="196"/>
      <c r="BW24" s="196"/>
      <c r="BX24" s="196"/>
      <c r="BY24" s="196"/>
      <c r="BZ24" s="19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row>
    <row r="25" spans="1:235" s="159" customFormat="1" ht="57" x14ac:dyDescent="0.25">
      <c r="A25" s="197">
        <v>11300</v>
      </c>
      <c r="B25" s="194" t="s">
        <v>4</v>
      </c>
      <c r="C25" s="198" t="s">
        <v>160</v>
      </c>
      <c r="D25" s="194" t="s">
        <v>145</v>
      </c>
      <c r="E25" s="198" t="s">
        <v>161</v>
      </c>
      <c r="F25" s="194" t="s">
        <v>162</v>
      </c>
      <c r="G25" s="209" t="s">
        <v>123</v>
      </c>
      <c r="H25" s="216">
        <v>1</v>
      </c>
      <c r="I25" s="198" t="s">
        <v>305</v>
      </c>
      <c r="J25" s="194" t="s">
        <v>561</v>
      </c>
      <c r="K25" s="210">
        <v>1500000000</v>
      </c>
      <c r="L25" s="220">
        <v>3.5106648210048191E-5</v>
      </c>
      <c r="M25" s="194" t="s">
        <v>46</v>
      </c>
      <c r="N25" s="194" t="s">
        <v>68</v>
      </c>
      <c r="O25" s="194" t="s">
        <v>21</v>
      </c>
      <c r="P25" s="194" t="s">
        <v>36</v>
      </c>
      <c r="Q25" s="194" t="s">
        <v>213</v>
      </c>
      <c r="R25" s="194" t="s">
        <v>182</v>
      </c>
      <c r="S25" s="194" t="s">
        <v>99</v>
      </c>
      <c r="T25" s="211">
        <v>1</v>
      </c>
      <c r="U25" s="212" t="str">
        <f t="shared" si="15"/>
        <v>Prestaciones Económicas Regímenes Especiales de Excepción</v>
      </c>
      <c r="V25" s="213">
        <f t="shared" si="15"/>
        <v>1500000000</v>
      </c>
      <c r="W25" s="214" t="s">
        <v>116</v>
      </c>
      <c r="X25" s="281">
        <v>0.25</v>
      </c>
      <c r="Y25" s="282" t="s">
        <v>561</v>
      </c>
      <c r="Z25" s="283">
        <v>375000000</v>
      </c>
      <c r="AA25" s="279"/>
      <c r="AB25" s="279"/>
      <c r="AC25" s="280">
        <f t="shared" si="16"/>
        <v>0</v>
      </c>
      <c r="AD25" s="280">
        <f t="shared" si="17"/>
        <v>0</v>
      </c>
      <c r="AE25" s="280">
        <f t="shared" si="0"/>
        <v>0</v>
      </c>
      <c r="AF25" s="280">
        <f t="shared" si="1"/>
        <v>0</v>
      </c>
      <c r="AG25" s="281">
        <v>0.25</v>
      </c>
      <c r="AH25" s="282" t="s">
        <v>561</v>
      </c>
      <c r="AI25" s="283">
        <v>375000000</v>
      </c>
      <c r="AJ25" s="279"/>
      <c r="AK25" s="279"/>
      <c r="AL25" s="280">
        <f t="shared" si="18"/>
        <v>0</v>
      </c>
      <c r="AM25" s="280">
        <f t="shared" si="2"/>
        <v>0</v>
      </c>
      <c r="AN25" s="280">
        <f t="shared" si="3"/>
        <v>0</v>
      </c>
      <c r="AO25" s="280">
        <f t="shared" si="4"/>
        <v>0</v>
      </c>
      <c r="AP25" s="281">
        <v>0.25</v>
      </c>
      <c r="AQ25" s="282" t="s">
        <v>561</v>
      </c>
      <c r="AR25" s="283">
        <v>375000000</v>
      </c>
      <c r="AS25" s="279"/>
      <c r="AT25" s="279"/>
      <c r="AU25" s="280">
        <f t="shared" si="19"/>
        <v>0</v>
      </c>
      <c r="AV25" s="280">
        <f t="shared" si="20"/>
        <v>0</v>
      </c>
      <c r="AW25" s="280">
        <f t="shared" si="21"/>
        <v>0</v>
      </c>
      <c r="AX25" s="280">
        <f t="shared" si="22"/>
        <v>0</v>
      </c>
      <c r="AY25" s="281">
        <v>0.25</v>
      </c>
      <c r="AZ25" s="282" t="s">
        <v>561</v>
      </c>
      <c r="BA25" s="283">
        <v>375000000</v>
      </c>
      <c r="BB25" s="279"/>
      <c r="BC25" s="279"/>
      <c r="BD25" s="281">
        <f t="shared" si="23"/>
        <v>0</v>
      </c>
      <c r="BE25" s="281">
        <f t="shared" si="24"/>
        <v>0</v>
      </c>
      <c r="BF25" s="281">
        <f t="shared" si="25"/>
        <v>0</v>
      </c>
      <c r="BG25" s="281">
        <f t="shared" si="26"/>
        <v>0</v>
      </c>
      <c r="BH25" s="205">
        <f t="shared" si="7"/>
        <v>0</v>
      </c>
      <c r="BI25" s="205">
        <f t="shared" si="8"/>
        <v>0</v>
      </c>
      <c r="BJ25" s="205">
        <f t="shared" si="9"/>
        <v>0</v>
      </c>
      <c r="BK25" s="205">
        <f t="shared" si="10"/>
        <v>0</v>
      </c>
      <c r="BL25" s="205">
        <f t="shared" si="27"/>
        <v>0</v>
      </c>
      <c r="BM25" s="205">
        <f t="shared" si="28"/>
        <v>0</v>
      </c>
      <c r="BN25" s="205">
        <f t="shared" si="11"/>
        <v>0</v>
      </c>
      <c r="BO25" s="205">
        <f t="shared" si="12"/>
        <v>0</v>
      </c>
      <c r="BP25" s="206"/>
      <c r="BQ25" s="277">
        <v>1</v>
      </c>
      <c r="BR25" s="208">
        <f t="shared" si="14"/>
        <v>0.58333333333333337</v>
      </c>
      <c r="BS25" s="219" t="str">
        <f t="shared" si="29"/>
        <v>Prestaciones Económicas Regímenes Especiales de Excepción</v>
      </c>
      <c r="BT25" s="195">
        <f t="shared" si="13"/>
        <v>875000000</v>
      </c>
      <c r="BU25" s="196"/>
      <c r="BV25" s="196"/>
      <c r="BW25" s="196"/>
      <c r="BX25" s="196"/>
      <c r="BY25" s="196"/>
      <c r="BZ25" s="19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row>
    <row r="26" spans="1:235" s="159" customFormat="1" ht="57" x14ac:dyDescent="0.25">
      <c r="A26" s="197">
        <v>11300</v>
      </c>
      <c r="B26" s="194" t="s">
        <v>4</v>
      </c>
      <c r="C26" s="198" t="s">
        <v>160</v>
      </c>
      <c r="D26" s="194" t="s">
        <v>145</v>
      </c>
      <c r="E26" s="198" t="s">
        <v>161</v>
      </c>
      <c r="F26" s="194" t="s">
        <v>162</v>
      </c>
      <c r="G26" s="209" t="s">
        <v>123</v>
      </c>
      <c r="H26" s="216">
        <v>1</v>
      </c>
      <c r="I26" s="198" t="s">
        <v>306</v>
      </c>
      <c r="J26" s="194" t="s">
        <v>170</v>
      </c>
      <c r="K26" s="210">
        <v>18712351563000</v>
      </c>
      <c r="L26" s="220">
        <v>0.43795196233665762</v>
      </c>
      <c r="M26" s="194" t="s">
        <v>46</v>
      </c>
      <c r="N26" s="194" t="s">
        <v>68</v>
      </c>
      <c r="O26" s="194" t="s">
        <v>21</v>
      </c>
      <c r="P26" s="194" t="s">
        <v>36</v>
      </c>
      <c r="Q26" s="194" t="s">
        <v>213</v>
      </c>
      <c r="R26" s="194" t="s">
        <v>182</v>
      </c>
      <c r="S26" s="194" t="s">
        <v>99</v>
      </c>
      <c r="T26" s="211">
        <v>1</v>
      </c>
      <c r="U26" s="212" t="str">
        <f t="shared" si="15"/>
        <v>Financiación UPC Régimen Subsidiado CSF</v>
      </c>
      <c r="V26" s="213">
        <f t="shared" si="15"/>
        <v>18712351563000</v>
      </c>
      <c r="W26" s="214" t="s">
        <v>116</v>
      </c>
      <c r="X26" s="281">
        <v>0.25</v>
      </c>
      <c r="Y26" s="282" t="s">
        <v>170</v>
      </c>
      <c r="Z26" s="283">
        <v>4678087890750</v>
      </c>
      <c r="AA26" s="279"/>
      <c r="AB26" s="279"/>
      <c r="AC26" s="280">
        <f t="shared" si="16"/>
        <v>0</v>
      </c>
      <c r="AD26" s="280">
        <f t="shared" si="17"/>
        <v>0</v>
      </c>
      <c r="AE26" s="280">
        <f t="shared" si="0"/>
        <v>0</v>
      </c>
      <c r="AF26" s="280">
        <f t="shared" si="1"/>
        <v>0</v>
      </c>
      <c r="AG26" s="281">
        <v>0.25</v>
      </c>
      <c r="AH26" s="282" t="s">
        <v>170</v>
      </c>
      <c r="AI26" s="283">
        <v>4678087890750</v>
      </c>
      <c r="AJ26" s="279"/>
      <c r="AK26" s="279"/>
      <c r="AL26" s="280">
        <f t="shared" si="18"/>
        <v>0</v>
      </c>
      <c r="AM26" s="280">
        <f t="shared" si="2"/>
        <v>0</v>
      </c>
      <c r="AN26" s="280">
        <f t="shared" si="3"/>
        <v>0</v>
      </c>
      <c r="AO26" s="280">
        <f t="shared" si="4"/>
        <v>0</v>
      </c>
      <c r="AP26" s="281">
        <v>0.25</v>
      </c>
      <c r="AQ26" s="282" t="s">
        <v>170</v>
      </c>
      <c r="AR26" s="283">
        <v>4678087890750</v>
      </c>
      <c r="AS26" s="279"/>
      <c r="AT26" s="279"/>
      <c r="AU26" s="280">
        <f t="shared" si="19"/>
        <v>0</v>
      </c>
      <c r="AV26" s="280">
        <f t="shared" si="20"/>
        <v>0</v>
      </c>
      <c r="AW26" s="280">
        <f t="shared" si="21"/>
        <v>0</v>
      </c>
      <c r="AX26" s="280">
        <f t="shared" si="22"/>
        <v>0</v>
      </c>
      <c r="AY26" s="281">
        <v>0.25</v>
      </c>
      <c r="AZ26" s="282" t="s">
        <v>170</v>
      </c>
      <c r="BA26" s="283">
        <v>4678087890750</v>
      </c>
      <c r="BB26" s="279"/>
      <c r="BC26" s="279"/>
      <c r="BD26" s="281">
        <f t="shared" si="23"/>
        <v>0</v>
      </c>
      <c r="BE26" s="281">
        <f t="shared" si="24"/>
        <v>0</v>
      </c>
      <c r="BF26" s="281">
        <f t="shared" si="25"/>
        <v>0</v>
      </c>
      <c r="BG26" s="281">
        <f t="shared" si="26"/>
        <v>0</v>
      </c>
      <c r="BH26" s="205">
        <f t="shared" si="7"/>
        <v>0</v>
      </c>
      <c r="BI26" s="205">
        <f t="shared" si="8"/>
        <v>0</v>
      </c>
      <c r="BJ26" s="205">
        <f t="shared" si="9"/>
        <v>0</v>
      </c>
      <c r="BK26" s="205">
        <f t="shared" si="10"/>
        <v>0</v>
      </c>
      <c r="BL26" s="205">
        <f t="shared" si="27"/>
        <v>0</v>
      </c>
      <c r="BM26" s="205">
        <f t="shared" si="28"/>
        <v>0</v>
      </c>
      <c r="BN26" s="205">
        <f t="shared" si="11"/>
        <v>0</v>
      </c>
      <c r="BO26" s="205">
        <f t="shared" si="12"/>
        <v>0</v>
      </c>
      <c r="BP26" s="206"/>
      <c r="BQ26" s="277">
        <v>1</v>
      </c>
      <c r="BR26" s="208">
        <f t="shared" si="14"/>
        <v>0.58333333333333337</v>
      </c>
      <c r="BS26" s="219" t="str">
        <f t="shared" si="29"/>
        <v>Financiación UPC Régimen Subsidiado CSF</v>
      </c>
      <c r="BT26" s="195">
        <f t="shared" si="13"/>
        <v>10915538411750</v>
      </c>
      <c r="BU26" s="196"/>
      <c r="BV26" s="196"/>
      <c r="BW26" s="196"/>
      <c r="BX26" s="196"/>
      <c r="BY26" s="196"/>
      <c r="BZ26" s="19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row>
    <row r="27" spans="1:235" s="159" customFormat="1" ht="57" x14ac:dyDescent="0.25">
      <c r="A27" s="197">
        <v>11300</v>
      </c>
      <c r="B27" s="194" t="s">
        <v>4</v>
      </c>
      <c r="C27" s="198" t="s">
        <v>160</v>
      </c>
      <c r="D27" s="194" t="s">
        <v>145</v>
      </c>
      <c r="E27" s="198" t="s">
        <v>161</v>
      </c>
      <c r="F27" s="194" t="s">
        <v>162</v>
      </c>
      <c r="G27" s="209" t="s">
        <v>123</v>
      </c>
      <c r="H27" s="216">
        <v>1</v>
      </c>
      <c r="I27" s="198" t="s">
        <v>307</v>
      </c>
      <c r="J27" s="194" t="s">
        <v>171</v>
      </c>
      <c r="K27" s="210">
        <v>26475329000</v>
      </c>
      <c r="L27" s="220">
        <v>6.1964004096552467E-4</v>
      </c>
      <c r="M27" s="194" t="s">
        <v>46</v>
      </c>
      <c r="N27" s="194" t="s">
        <v>68</v>
      </c>
      <c r="O27" s="194" t="s">
        <v>21</v>
      </c>
      <c r="P27" s="194" t="s">
        <v>36</v>
      </c>
      <c r="Q27" s="194" t="s">
        <v>213</v>
      </c>
      <c r="R27" s="194" t="s">
        <v>182</v>
      </c>
      <c r="S27" s="194" t="s">
        <v>99</v>
      </c>
      <c r="T27" s="211">
        <v>1</v>
      </c>
      <c r="U27" s="212" t="str">
        <f t="shared" si="15"/>
        <v>Financiación UPC Régimen Subsidiado - CCF - SSF</v>
      </c>
      <c r="V27" s="213">
        <f t="shared" si="15"/>
        <v>26475329000</v>
      </c>
      <c r="W27" s="214" t="s">
        <v>116</v>
      </c>
      <c r="X27" s="281">
        <v>0.25</v>
      </c>
      <c r="Y27" s="282" t="s">
        <v>171</v>
      </c>
      <c r="Z27" s="283">
        <v>6618832250</v>
      </c>
      <c r="AA27" s="279"/>
      <c r="AB27" s="279"/>
      <c r="AC27" s="280">
        <f t="shared" si="16"/>
        <v>0</v>
      </c>
      <c r="AD27" s="280">
        <f t="shared" si="17"/>
        <v>0</v>
      </c>
      <c r="AE27" s="280">
        <f t="shared" si="0"/>
        <v>0</v>
      </c>
      <c r="AF27" s="280">
        <f t="shared" si="1"/>
        <v>0</v>
      </c>
      <c r="AG27" s="281">
        <v>0.25</v>
      </c>
      <c r="AH27" s="282" t="s">
        <v>171</v>
      </c>
      <c r="AI27" s="283">
        <v>6618832250</v>
      </c>
      <c r="AJ27" s="279"/>
      <c r="AK27" s="279"/>
      <c r="AL27" s="280">
        <f t="shared" si="18"/>
        <v>0</v>
      </c>
      <c r="AM27" s="280">
        <f t="shared" si="2"/>
        <v>0</v>
      </c>
      <c r="AN27" s="280">
        <f t="shared" si="3"/>
        <v>0</v>
      </c>
      <c r="AO27" s="280">
        <f t="shared" si="4"/>
        <v>0</v>
      </c>
      <c r="AP27" s="281">
        <v>0.25</v>
      </c>
      <c r="AQ27" s="282" t="s">
        <v>171</v>
      </c>
      <c r="AR27" s="283">
        <v>6618832250</v>
      </c>
      <c r="AS27" s="279"/>
      <c r="AT27" s="279"/>
      <c r="AU27" s="280">
        <f t="shared" si="19"/>
        <v>0</v>
      </c>
      <c r="AV27" s="280">
        <f t="shared" si="20"/>
        <v>0</v>
      </c>
      <c r="AW27" s="280">
        <f t="shared" si="21"/>
        <v>0</v>
      </c>
      <c r="AX27" s="280">
        <f t="shared" si="22"/>
        <v>0</v>
      </c>
      <c r="AY27" s="281">
        <v>0.25</v>
      </c>
      <c r="AZ27" s="282" t="s">
        <v>171</v>
      </c>
      <c r="BA27" s="283">
        <v>6618832250</v>
      </c>
      <c r="BB27" s="279"/>
      <c r="BC27" s="279"/>
      <c r="BD27" s="281">
        <f t="shared" si="23"/>
        <v>0</v>
      </c>
      <c r="BE27" s="281">
        <f t="shared" si="24"/>
        <v>0</v>
      </c>
      <c r="BF27" s="281">
        <f t="shared" si="25"/>
        <v>0</v>
      </c>
      <c r="BG27" s="281">
        <f t="shared" si="26"/>
        <v>0</v>
      </c>
      <c r="BH27" s="205">
        <f t="shared" si="7"/>
        <v>0</v>
      </c>
      <c r="BI27" s="205">
        <f t="shared" si="8"/>
        <v>0</v>
      </c>
      <c r="BJ27" s="205">
        <f t="shared" si="9"/>
        <v>0</v>
      </c>
      <c r="BK27" s="205">
        <f t="shared" si="10"/>
        <v>0</v>
      </c>
      <c r="BL27" s="205">
        <f t="shared" si="27"/>
        <v>0</v>
      </c>
      <c r="BM27" s="205">
        <f t="shared" si="28"/>
        <v>0</v>
      </c>
      <c r="BN27" s="205">
        <f t="shared" si="11"/>
        <v>0</v>
      </c>
      <c r="BO27" s="205">
        <f t="shared" si="12"/>
        <v>0</v>
      </c>
      <c r="BP27" s="206"/>
      <c r="BQ27" s="277">
        <v>1</v>
      </c>
      <c r="BR27" s="208">
        <f t="shared" si="14"/>
        <v>0.58333333333333337</v>
      </c>
      <c r="BS27" s="219" t="str">
        <f t="shared" si="29"/>
        <v>Financiación UPC Régimen Subsidiado - CCF - SSF</v>
      </c>
      <c r="BT27" s="195">
        <f t="shared" si="13"/>
        <v>15443941916.666666</v>
      </c>
      <c r="BU27" s="196"/>
      <c r="BV27" s="196"/>
      <c r="BW27" s="196"/>
      <c r="BX27" s="196"/>
      <c r="BY27" s="196"/>
      <c r="BZ27" s="19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row>
    <row r="28" spans="1:235" s="159" customFormat="1" ht="57" x14ac:dyDescent="0.25">
      <c r="A28" s="197">
        <v>11300</v>
      </c>
      <c r="B28" s="194" t="s">
        <v>4</v>
      </c>
      <c r="C28" s="198" t="s">
        <v>160</v>
      </c>
      <c r="D28" s="194" t="s">
        <v>145</v>
      </c>
      <c r="E28" s="198" t="s">
        <v>161</v>
      </c>
      <c r="F28" s="194" t="s">
        <v>162</v>
      </c>
      <c r="G28" s="209" t="s">
        <v>123</v>
      </c>
      <c r="H28" s="216">
        <v>1</v>
      </c>
      <c r="I28" s="198" t="s">
        <v>308</v>
      </c>
      <c r="J28" s="194" t="s">
        <v>175</v>
      </c>
      <c r="K28" s="210">
        <v>210070791000</v>
      </c>
      <c r="L28" s="220">
        <v>4.9165875725623717E-3</v>
      </c>
      <c r="M28" s="194" t="s">
        <v>46</v>
      </c>
      <c r="N28" s="194" t="s">
        <v>68</v>
      </c>
      <c r="O28" s="194" t="s">
        <v>21</v>
      </c>
      <c r="P28" s="194" t="s">
        <v>36</v>
      </c>
      <c r="Q28" s="194" t="s">
        <v>213</v>
      </c>
      <c r="R28" s="194" t="s">
        <v>182</v>
      </c>
      <c r="S28" s="194" t="s">
        <v>99</v>
      </c>
      <c r="T28" s="211">
        <v>1</v>
      </c>
      <c r="U28" s="212" t="str">
        <f t="shared" si="15"/>
        <v>Prestaciones Excepcionales - Recobros</v>
      </c>
      <c r="V28" s="213">
        <f t="shared" si="15"/>
        <v>210070791000</v>
      </c>
      <c r="W28" s="214" t="s">
        <v>116</v>
      </c>
      <c r="X28" s="281">
        <v>0.25</v>
      </c>
      <c r="Y28" s="282" t="s">
        <v>175</v>
      </c>
      <c r="Z28" s="283">
        <v>52517697750</v>
      </c>
      <c r="AA28" s="279"/>
      <c r="AB28" s="279"/>
      <c r="AC28" s="280">
        <f t="shared" si="16"/>
        <v>0</v>
      </c>
      <c r="AD28" s="280">
        <f t="shared" si="17"/>
        <v>0</v>
      </c>
      <c r="AE28" s="280">
        <f t="shared" si="0"/>
        <v>0</v>
      </c>
      <c r="AF28" s="280">
        <f t="shared" si="1"/>
        <v>0</v>
      </c>
      <c r="AG28" s="281">
        <v>0.25</v>
      </c>
      <c r="AH28" s="282" t="s">
        <v>175</v>
      </c>
      <c r="AI28" s="283">
        <v>52517697750</v>
      </c>
      <c r="AJ28" s="279"/>
      <c r="AK28" s="279"/>
      <c r="AL28" s="280">
        <f t="shared" si="18"/>
        <v>0</v>
      </c>
      <c r="AM28" s="280">
        <f t="shared" si="2"/>
        <v>0</v>
      </c>
      <c r="AN28" s="280">
        <f t="shared" si="3"/>
        <v>0</v>
      </c>
      <c r="AO28" s="280">
        <f t="shared" si="4"/>
        <v>0</v>
      </c>
      <c r="AP28" s="281">
        <v>0.25</v>
      </c>
      <c r="AQ28" s="282" t="s">
        <v>175</v>
      </c>
      <c r="AR28" s="283">
        <v>52517697750</v>
      </c>
      <c r="AS28" s="279"/>
      <c r="AT28" s="279"/>
      <c r="AU28" s="280">
        <f t="shared" si="19"/>
        <v>0</v>
      </c>
      <c r="AV28" s="280">
        <f t="shared" si="20"/>
        <v>0</v>
      </c>
      <c r="AW28" s="280">
        <f t="shared" si="21"/>
        <v>0</v>
      </c>
      <c r="AX28" s="280">
        <f t="shared" si="22"/>
        <v>0</v>
      </c>
      <c r="AY28" s="281">
        <v>0.25</v>
      </c>
      <c r="AZ28" s="282" t="s">
        <v>175</v>
      </c>
      <c r="BA28" s="283">
        <v>52517697750</v>
      </c>
      <c r="BB28" s="279"/>
      <c r="BC28" s="279"/>
      <c r="BD28" s="281">
        <f t="shared" si="23"/>
        <v>0</v>
      </c>
      <c r="BE28" s="281">
        <f t="shared" si="24"/>
        <v>0</v>
      </c>
      <c r="BF28" s="281">
        <f t="shared" si="25"/>
        <v>0</v>
      </c>
      <c r="BG28" s="281">
        <f t="shared" si="26"/>
        <v>0</v>
      </c>
      <c r="BH28" s="205">
        <f t="shared" si="7"/>
        <v>0</v>
      </c>
      <c r="BI28" s="205">
        <f t="shared" si="8"/>
        <v>0</v>
      </c>
      <c r="BJ28" s="205">
        <f t="shared" si="9"/>
        <v>0</v>
      </c>
      <c r="BK28" s="205">
        <f t="shared" si="10"/>
        <v>0</v>
      </c>
      <c r="BL28" s="205">
        <f t="shared" si="27"/>
        <v>0</v>
      </c>
      <c r="BM28" s="205">
        <f t="shared" si="28"/>
        <v>0</v>
      </c>
      <c r="BN28" s="205">
        <f t="shared" si="11"/>
        <v>0</v>
      </c>
      <c r="BO28" s="205">
        <f t="shared" si="12"/>
        <v>0</v>
      </c>
      <c r="BP28" s="206"/>
      <c r="BQ28" s="277">
        <v>10</v>
      </c>
      <c r="BR28" s="208">
        <f t="shared" si="14"/>
        <v>0.58333333333333337</v>
      </c>
      <c r="BS28" s="219" t="str">
        <f t="shared" si="29"/>
        <v>Prestaciones Excepcionales - Recobros</v>
      </c>
      <c r="BT28" s="195">
        <f t="shared" si="13"/>
        <v>122541294750</v>
      </c>
      <c r="BU28" s="196"/>
      <c r="BV28" s="196"/>
      <c r="BW28" s="196"/>
      <c r="BX28" s="196"/>
      <c r="BY28" s="196"/>
      <c r="BZ28" s="19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row>
    <row r="29" spans="1:235" s="159" customFormat="1" ht="57" x14ac:dyDescent="0.25">
      <c r="A29" s="197">
        <v>11300</v>
      </c>
      <c r="B29" s="194" t="s">
        <v>4</v>
      </c>
      <c r="C29" s="198" t="s">
        <v>160</v>
      </c>
      <c r="D29" s="194" t="s">
        <v>145</v>
      </c>
      <c r="E29" s="198" t="s">
        <v>161</v>
      </c>
      <c r="F29" s="194" t="s">
        <v>162</v>
      </c>
      <c r="G29" s="209" t="s">
        <v>123</v>
      </c>
      <c r="H29" s="216">
        <v>1</v>
      </c>
      <c r="I29" s="198" t="s">
        <v>309</v>
      </c>
      <c r="J29" s="194" t="s">
        <v>172</v>
      </c>
      <c r="K29" s="210">
        <v>165927919000</v>
      </c>
      <c r="L29" s="220">
        <v>3.8834487203722474E-3</v>
      </c>
      <c r="M29" s="194" t="s">
        <v>46</v>
      </c>
      <c r="N29" s="194" t="s">
        <v>68</v>
      </c>
      <c r="O29" s="194" t="s">
        <v>21</v>
      </c>
      <c r="P29" s="194" t="s">
        <v>36</v>
      </c>
      <c r="Q29" s="194" t="s">
        <v>213</v>
      </c>
      <c r="R29" s="194" t="s">
        <v>182</v>
      </c>
      <c r="S29" s="194" t="s">
        <v>99</v>
      </c>
      <c r="T29" s="211">
        <v>1</v>
      </c>
      <c r="U29" s="212" t="str">
        <f t="shared" si="15"/>
        <v>Atención en salud, transporte primario, indemnizaciones y auxilios funerarios víctimas</v>
      </c>
      <c r="V29" s="213">
        <f t="shared" si="15"/>
        <v>165927919000</v>
      </c>
      <c r="W29" s="214" t="s">
        <v>116</v>
      </c>
      <c r="X29" s="281">
        <v>0.25</v>
      </c>
      <c r="Y29" s="282" t="s">
        <v>172</v>
      </c>
      <c r="Z29" s="283">
        <v>41481979750</v>
      </c>
      <c r="AA29" s="279"/>
      <c r="AB29" s="279"/>
      <c r="AC29" s="280">
        <f t="shared" si="16"/>
        <v>0</v>
      </c>
      <c r="AD29" s="280">
        <f t="shared" si="17"/>
        <v>0</v>
      </c>
      <c r="AE29" s="280">
        <f t="shared" si="0"/>
        <v>0</v>
      </c>
      <c r="AF29" s="280">
        <f t="shared" si="1"/>
        <v>0</v>
      </c>
      <c r="AG29" s="281">
        <v>0.25</v>
      </c>
      <c r="AH29" s="282" t="s">
        <v>172</v>
      </c>
      <c r="AI29" s="283">
        <v>41481979750</v>
      </c>
      <c r="AJ29" s="279"/>
      <c r="AK29" s="279"/>
      <c r="AL29" s="280">
        <f t="shared" si="18"/>
        <v>0</v>
      </c>
      <c r="AM29" s="280">
        <f t="shared" si="2"/>
        <v>0</v>
      </c>
      <c r="AN29" s="280">
        <f t="shared" si="3"/>
        <v>0</v>
      </c>
      <c r="AO29" s="280">
        <f t="shared" si="4"/>
        <v>0</v>
      </c>
      <c r="AP29" s="281">
        <v>0.25</v>
      </c>
      <c r="AQ29" s="282" t="s">
        <v>172</v>
      </c>
      <c r="AR29" s="283">
        <v>41481979750</v>
      </c>
      <c r="AS29" s="279"/>
      <c r="AT29" s="279"/>
      <c r="AU29" s="280">
        <f t="shared" si="19"/>
        <v>0</v>
      </c>
      <c r="AV29" s="280">
        <f t="shared" si="20"/>
        <v>0</v>
      </c>
      <c r="AW29" s="280">
        <f t="shared" si="21"/>
        <v>0</v>
      </c>
      <c r="AX29" s="280">
        <f t="shared" si="22"/>
        <v>0</v>
      </c>
      <c r="AY29" s="281">
        <v>0.25</v>
      </c>
      <c r="AZ29" s="282" t="s">
        <v>172</v>
      </c>
      <c r="BA29" s="283">
        <v>41481979750</v>
      </c>
      <c r="BB29" s="279"/>
      <c r="BC29" s="279"/>
      <c r="BD29" s="281">
        <f t="shared" si="23"/>
        <v>0</v>
      </c>
      <c r="BE29" s="281">
        <f t="shared" si="24"/>
        <v>0</v>
      </c>
      <c r="BF29" s="281">
        <f t="shared" si="25"/>
        <v>0</v>
      </c>
      <c r="BG29" s="281">
        <f t="shared" si="26"/>
        <v>0</v>
      </c>
      <c r="BH29" s="205">
        <f t="shared" si="7"/>
        <v>0</v>
      </c>
      <c r="BI29" s="205">
        <f t="shared" si="8"/>
        <v>0</v>
      </c>
      <c r="BJ29" s="205">
        <f t="shared" si="9"/>
        <v>0</v>
      </c>
      <c r="BK29" s="205">
        <f t="shared" si="10"/>
        <v>0</v>
      </c>
      <c r="BL29" s="205">
        <f t="shared" si="27"/>
        <v>0</v>
      </c>
      <c r="BM29" s="205">
        <f t="shared" si="28"/>
        <v>0</v>
      </c>
      <c r="BN29" s="205">
        <f t="shared" si="11"/>
        <v>0</v>
      </c>
      <c r="BO29" s="205">
        <f t="shared" si="12"/>
        <v>0</v>
      </c>
      <c r="BP29" s="206"/>
      <c r="BQ29" s="277">
        <v>10</v>
      </c>
      <c r="BR29" s="208">
        <f t="shared" si="14"/>
        <v>0.58333333333333337</v>
      </c>
      <c r="BS29" s="219" t="str">
        <f t="shared" si="29"/>
        <v>Atención en salud, transporte primario, indemnizaciones y auxilios funerarios víctimas</v>
      </c>
      <c r="BT29" s="195">
        <f t="shared" si="13"/>
        <v>96791286083.333328</v>
      </c>
      <c r="BU29" s="196"/>
      <c r="BV29" s="196"/>
      <c r="BW29" s="196"/>
      <c r="BX29" s="196"/>
      <c r="BY29" s="196"/>
      <c r="BZ29" s="19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row>
    <row r="30" spans="1:235" s="159" customFormat="1" ht="57" x14ac:dyDescent="0.25">
      <c r="A30" s="197">
        <v>11300</v>
      </c>
      <c r="B30" s="194" t="s">
        <v>4</v>
      </c>
      <c r="C30" s="198" t="s">
        <v>160</v>
      </c>
      <c r="D30" s="194" t="s">
        <v>145</v>
      </c>
      <c r="E30" s="198" t="s">
        <v>161</v>
      </c>
      <c r="F30" s="194" t="s">
        <v>162</v>
      </c>
      <c r="G30" s="209" t="s">
        <v>123</v>
      </c>
      <c r="H30" s="216">
        <v>1</v>
      </c>
      <c r="I30" s="198" t="s">
        <v>310</v>
      </c>
      <c r="J30" s="194" t="s">
        <v>176</v>
      </c>
      <c r="K30" s="210">
        <v>3872113000</v>
      </c>
      <c r="L30" s="220">
        <v>9.0624605947036218E-5</v>
      </c>
      <c r="M30" s="194" t="s">
        <v>46</v>
      </c>
      <c r="N30" s="194" t="s">
        <v>68</v>
      </c>
      <c r="O30" s="194" t="s">
        <v>21</v>
      </c>
      <c r="P30" s="194" t="s">
        <v>36</v>
      </c>
      <c r="Q30" s="194" t="s">
        <v>213</v>
      </c>
      <c r="R30" s="194" t="s">
        <v>182</v>
      </c>
      <c r="S30" s="194" t="s">
        <v>99</v>
      </c>
      <c r="T30" s="211">
        <v>1</v>
      </c>
      <c r="U30" s="212" t="str">
        <f t="shared" si="15"/>
        <v>Fortalecimiento red de urgencias nacional, emergencias sanitarias y eventos catastróficos</v>
      </c>
      <c r="V30" s="213">
        <f t="shared" si="15"/>
        <v>3872113000</v>
      </c>
      <c r="W30" s="214" t="s">
        <v>116</v>
      </c>
      <c r="X30" s="281">
        <v>0.25</v>
      </c>
      <c r="Y30" s="282" t="s">
        <v>176</v>
      </c>
      <c r="Z30" s="283">
        <v>968028250</v>
      </c>
      <c r="AA30" s="279"/>
      <c r="AB30" s="279"/>
      <c r="AC30" s="280">
        <f t="shared" si="16"/>
        <v>0</v>
      </c>
      <c r="AD30" s="280">
        <f t="shared" si="17"/>
        <v>0</v>
      </c>
      <c r="AE30" s="280">
        <f t="shared" si="0"/>
        <v>0</v>
      </c>
      <c r="AF30" s="280">
        <f t="shared" si="1"/>
        <v>0</v>
      </c>
      <c r="AG30" s="281">
        <v>0.25</v>
      </c>
      <c r="AH30" s="282" t="s">
        <v>176</v>
      </c>
      <c r="AI30" s="283">
        <v>968028250</v>
      </c>
      <c r="AJ30" s="279"/>
      <c r="AK30" s="279"/>
      <c r="AL30" s="280">
        <f t="shared" si="18"/>
        <v>0</v>
      </c>
      <c r="AM30" s="280">
        <f t="shared" si="2"/>
        <v>0</v>
      </c>
      <c r="AN30" s="280">
        <f t="shared" si="3"/>
        <v>0</v>
      </c>
      <c r="AO30" s="280">
        <f t="shared" si="4"/>
        <v>0</v>
      </c>
      <c r="AP30" s="281">
        <v>0.25</v>
      </c>
      <c r="AQ30" s="282" t="s">
        <v>176</v>
      </c>
      <c r="AR30" s="283">
        <v>968028250</v>
      </c>
      <c r="AS30" s="279"/>
      <c r="AT30" s="279"/>
      <c r="AU30" s="280">
        <f t="shared" si="19"/>
        <v>0</v>
      </c>
      <c r="AV30" s="280">
        <f t="shared" si="20"/>
        <v>0</v>
      </c>
      <c r="AW30" s="280">
        <f t="shared" si="21"/>
        <v>0</v>
      </c>
      <c r="AX30" s="280">
        <f t="shared" si="22"/>
        <v>0</v>
      </c>
      <c r="AY30" s="281">
        <v>0.25</v>
      </c>
      <c r="AZ30" s="282" t="s">
        <v>176</v>
      </c>
      <c r="BA30" s="283">
        <v>968028250</v>
      </c>
      <c r="BB30" s="279"/>
      <c r="BC30" s="279"/>
      <c r="BD30" s="281">
        <f t="shared" si="23"/>
        <v>0</v>
      </c>
      <c r="BE30" s="281">
        <f t="shared" si="24"/>
        <v>0</v>
      </c>
      <c r="BF30" s="281">
        <f t="shared" si="25"/>
        <v>0</v>
      </c>
      <c r="BG30" s="281">
        <f t="shared" si="26"/>
        <v>0</v>
      </c>
      <c r="BH30" s="205">
        <f t="shared" si="7"/>
        <v>0</v>
      </c>
      <c r="BI30" s="205">
        <f t="shared" si="8"/>
        <v>0</v>
      </c>
      <c r="BJ30" s="205">
        <f t="shared" si="9"/>
        <v>0</v>
      </c>
      <c r="BK30" s="205">
        <f t="shared" si="10"/>
        <v>0</v>
      </c>
      <c r="BL30" s="205">
        <f t="shared" si="27"/>
        <v>0</v>
      </c>
      <c r="BM30" s="205">
        <f t="shared" si="28"/>
        <v>0</v>
      </c>
      <c r="BN30" s="205">
        <f t="shared" si="11"/>
        <v>0</v>
      </c>
      <c r="BO30" s="205">
        <f t="shared" si="12"/>
        <v>0</v>
      </c>
      <c r="BP30" s="206"/>
      <c r="BQ30" s="277">
        <v>10</v>
      </c>
      <c r="BR30" s="208">
        <f t="shared" si="14"/>
        <v>0.58333333333333337</v>
      </c>
      <c r="BS30" s="219" t="str">
        <f t="shared" si="29"/>
        <v>Fortalecimiento red de urgencias nacional, emergencias sanitarias y eventos catastróficos</v>
      </c>
      <c r="BT30" s="195">
        <f t="shared" si="13"/>
        <v>2258732583.3333335</v>
      </c>
      <c r="BU30" s="196"/>
      <c r="BV30" s="196"/>
      <c r="BW30" s="196"/>
      <c r="BX30" s="196"/>
      <c r="BY30" s="196"/>
      <c r="BZ30" s="19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row>
    <row r="31" spans="1:235" s="159" customFormat="1" ht="57" x14ac:dyDescent="0.25">
      <c r="A31" s="197">
        <v>11300</v>
      </c>
      <c r="B31" s="194" t="s">
        <v>4</v>
      </c>
      <c r="C31" s="198" t="s">
        <v>160</v>
      </c>
      <c r="D31" s="194" t="s">
        <v>145</v>
      </c>
      <c r="E31" s="198" t="s">
        <v>161</v>
      </c>
      <c r="F31" s="194" t="s">
        <v>162</v>
      </c>
      <c r="G31" s="209" t="s">
        <v>123</v>
      </c>
      <c r="H31" s="216">
        <v>1</v>
      </c>
      <c r="I31" s="198" t="s">
        <v>311</v>
      </c>
      <c r="J31" s="194" t="s">
        <v>177</v>
      </c>
      <c r="K31" s="210">
        <v>20994082000</v>
      </c>
      <c r="L31" s="220">
        <v>4.9135456751127002E-4</v>
      </c>
      <c r="M31" s="194" t="s">
        <v>46</v>
      </c>
      <c r="N31" s="194" t="s">
        <v>68</v>
      </c>
      <c r="O31" s="194" t="s">
        <v>21</v>
      </c>
      <c r="P31" s="194" t="s">
        <v>36</v>
      </c>
      <c r="Q31" s="194" t="s">
        <v>213</v>
      </c>
      <c r="R31" s="194" t="s">
        <v>182</v>
      </c>
      <c r="S31" s="194" t="s">
        <v>99</v>
      </c>
      <c r="T31" s="211">
        <v>1</v>
      </c>
      <c r="U31" s="212" t="str">
        <f t="shared" si="15"/>
        <v>Otros programas de salud promoción y prevención</v>
      </c>
      <c r="V31" s="213">
        <f t="shared" si="15"/>
        <v>20994082000</v>
      </c>
      <c r="W31" s="214" t="s">
        <v>116</v>
      </c>
      <c r="X31" s="281">
        <v>0.25</v>
      </c>
      <c r="Y31" s="282" t="s">
        <v>177</v>
      </c>
      <c r="Z31" s="283">
        <v>5248520500</v>
      </c>
      <c r="AA31" s="279"/>
      <c r="AB31" s="279"/>
      <c r="AC31" s="280">
        <f t="shared" si="16"/>
        <v>0</v>
      </c>
      <c r="AD31" s="280">
        <f t="shared" si="17"/>
        <v>0</v>
      </c>
      <c r="AE31" s="280">
        <f t="shared" si="0"/>
        <v>0</v>
      </c>
      <c r="AF31" s="280">
        <f t="shared" si="1"/>
        <v>0</v>
      </c>
      <c r="AG31" s="281">
        <v>0.25</v>
      </c>
      <c r="AH31" s="282" t="s">
        <v>177</v>
      </c>
      <c r="AI31" s="283">
        <v>5248520500</v>
      </c>
      <c r="AJ31" s="279"/>
      <c r="AK31" s="279"/>
      <c r="AL31" s="280">
        <f t="shared" si="18"/>
        <v>0</v>
      </c>
      <c r="AM31" s="280">
        <f t="shared" si="2"/>
        <v>0</v>
      </c>
      <c r="AN31" s="280">
        <f t="shared" si="3"/>
        <v>0</v>
      </c>
      <c r="AO31" s="280">
        <f t="shared" si="4"/>
        <v>0</v>
      </c>
      <c r="AP31" s="281">
        <v>0.25</v>
      </c>
      <c r="AQ31" s="282" t="s">
        <v>177</v>
      </c>
      <c r="AR31" s="283">
        <v>5248520500</v>
      </c>
      <c r="AS31" s="279"/>
      <c r="AT31" s="279"/>
      <c r="AU31" s="280">
        <f t="shared" si="19"/>
        <v>0</v>
      </c>
      <c r="AV31" s="280">
        <f t="shared" si="20"/>
        <v>0</v>
      </c>
      <c r="AW31" s="280">
        <f t="shared" si="21"/>
        <v>0</v>
      </c>
      <c r="AX31" s="280">
        <f t="shared" si="22"/>
        <v>0</v>
      </c>
      <c r="AY31" s="281">
        <v>0.25</v>
      </c>
      <c r="AZ31" s="282" t="s">
        <v>177</v>
      </c>
      <c r="BA31" s="283">
        <v>5248520500</v>
      </c>
      <c r="BB31" s="279"/>
      <c r="BC31" s="279"/>
      <c r="BD31" s="281">
        <f t="shared" si="23"/>
        <v>0</v>
      </c>
      <c r="BE31" s="281">
        <f t="shared" si="24"/>
        <v>0</v>
      </c>
      <c r="BF31" s="281">
        <f t="shared" si="25"/>
        <v>0</v>
      </c>
      <c r="BG31" s="281">
        <f t="shared" si="26"/>
        <v>0</v>
      </c>
      <c r="BH31" s="205">
        <f t="shared" si="7"/>
        <v>0</v>
      </c>
      <c r="BI31" s="205">
        <f t="shared" si="8"/>
        <v>0</v>
      </c>
      <c r="BJ31" s="205">
        <f t="shared" si="9"/>
        <v>0</v>
      </c>
      <c r="BK31" s="205">
        <f t="shared" si="10"/>
        <v>0</v>
      </c>
      <c r="BL31" s="205">
        <f t="shared" si="27"/>
        <v>0</v>
      </c>
      <c r="BM31" s="205">
        <f t="shared" si="28"/>
        <v>0</v>
      </c>
      <c r="BN31" s="205">
        <f t="shared" si="11"/>
        <v>0</v>
      </c>
      <c r="BO31" s="205">
        <f t="shared" si="12"/>
        <v>0</v>
      </c>
      <c r="BP31" s="206"/>
      <c r="BQ31" s="277">
        <v>1</v>
      </c>
      <c r="BR31" s="208">
        <f t="shared" si="14"/>
        <v>0.58333333333333337</v>
      </c>
      <c r="BS31" s="219" t="str">
        <f t="shared" si="29"/>
        <v>Otros programas de salud promoción y prevención</v>
      </c>
      <c r="BT31" s="195">
        <f t="shared" si="13"/>
        <v>12246547833.333334</v>
      </c>
      <c r="BU31" s="196"/>
      <c r="BV31" s="196"/>
      <c r="BW31" s="196"/>
      <c r="BX31" s="196"/>
      <c r="BY31" s="196"/>
      <c r="BZ31" s="19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row>
    <row r="32" spans="1:235" s="159" customFormat="1" ht="57" x14ac:dyDescent="0.25">
      <c r="A32" s="197">
        <v>11300</v>
      </c>
      <c r="B32" s="194" t="s">
        <v>4</v>
      </c>
      <c r="C32" s="198" t="s">
        <v>160</v>
      </c>
      <c r="D32" s="194" t="s">
        <v>145</v>
      </c>
      <c r="E32" s="198" t="s">
        <v>161</v>
      </c>
      <c r="F32" s="194" t="s">
        <v>162</v>
      </c>
      <c r="G32" s="209" t="s">
        <v>123</v>
      </c>
      <c r="H32" s="216">
        <v>1</v>
      </c>
      <c r="I32" s="198" t="s">
        <v>312</v>
      </c>
      <c r="J32" s="194" t="s">
        <v>178</v>
      </c>
      <c r="K32" s="210">
        <v>161564182000</v>
      </c>
      <c r="L32" s="220">
        <v>3.7813179338788E-3</v>
      </c>
      <c r="M32" s="194" t="s">
        <v>46</v>
      </c>
      <c r="N32" s="194" t="s">
        <v>68</v>
      </c>
      <c r="O32" s="194" t="s">
        <v>21</v>
      </c>
      <c r="P32" s="194" t="s">
        <v>36</v>
      </c>
      <c r="Q32" s="194" t="s">
        <v>213</v>
      </c>
      <c r="R32" s="194" t="s">
        <v>182</v>
      </c>
      <c r="S32" s="194" t="s">
        <v>99</v>
      </c>
      <c r="T32" s="211">
        <v>1</v>
      </c>
      <c r="U32" s="212" t="str">
        <f t="shared" si="15"/>
        <v>Recursos con destinación especifica</v>
      </c>
      <c r="V32" s="213">
        <f t="shared" si="15"/>
        <v>161564182000</v>
      </c>
      <c r="W32" s="214" t="s">
        <v>116</v>
      </c>
      <c r="X32" s="281">
        <v>0.25</v>
      </c>
      <c r="Y32" s="282" t="s">
        <v>178</v>
      </c>
      <c r="Z32" s="283">
        <v>40391045500</v>
      </c>
      <c r="AA32" s="279"/>
      <c r="AB32" s="279"/>
      <c r="AC32" s="280">
        <f t="shared" si="16"/>
        <v>0</v>
      </c>
      <c r="AD32" s="280">
        <f t="shared" si="17"/>
        <v>0</v>
      </c>
      <c r="AE32" s="280">
        <f t="shared" si="0"/>
        <v>0</v>
      </c>
      <c r="AF32" s="280">
        <f t="shared" si="1"/>
        <v>0</v>
      </c>
      <c r="AG32" s="281">
        <v>0.25</v>
      </c>
      <c r="AH32" s="282" t="s">
        <v>178</v>
      </c>
      <c r="AI32" s="283">
        <v>40391045500</v>
      </c>
      <c r="AJ32" s="279"/>
      <c r="AK32" s="279"/>
      <c r="AL32" s="280">
        <f t="shared" si="18"/>
        <v>0</v>
      </c>
      <c r="AM32" s="280">
        <f t="shared" si="2"/>
        <v>0</v>
      </c>
      <c r="AN32" s="280">
        <f t="shared" si="3"/>
        <v>0</v>
      </c>
      <c r="AO32" s="280">
        <f t="shared" si="4"/>
        <v>0</v>
      </c>
      <c r="AP32" s="281">
        <v>0.25</v>
      </c>
      <c r="AQ32" s="282" t="s">
        <v>178</v>
      </c>
      <c r="AR32" s="283">
        <v>40391045500</v>
      </c>
      <c r="AS32" s="279"/>
      <c r="AT32" s="279"/>
      <c r="AU32" s="280">
        <f t="shared" si="19"/>
        <v>0</v>
      </c>
      <c r="AV32" s="280">
        <f t="shared" si="20"/>
        <v>0</v>
      </c>
      <c r="AW32" s="280">
        <f t="shared" si="21"/>
        <v>0</v>
      </c>
      <c r="AX32" s="280">
        <f t="shared" si="22"/>
        <v>0</v>
      </c>
      <c r="AY32" s="281">
        <v>0.25</v>
      </c>
      <c r="AZ32" s="282" t="s">
        <v>178</v>
      </c>
      <c r="BA32" s="283">
        <v>40391045500</v>
      </c>
      <c r="BB32" s="279"/>
      <c r="BC32" s="279"/>
      <c r="BD32" s="281">
        <f t="shared" si="23"/>
        <v>0</v>
      </c>
      <c r="BE32" s="281">
        <f t="shared" si="24"/>
        <v>0</v>
      </c>
      <c r="BF32" s="281">
        <f t="shared" si="25"/>
        <v>0</v>
      </c>
      <c r="BG32" s="281">
        <f t="shared" si="26"/>
        <v>0</v>
      </c>
      <c r="BH32" s="205">
        <f t="shared" si="7"/>
        <v>0</v>
      </c>
      <c r="BI32" s="205">
        <f t="shared" si="8"/>
        <v>0</v>
      </c>
      <c r="BJ32" s="205">
        <f t="shared" si="9"/>
        <v>0</v>
      </c>
      <c r="BK32" s="205">
        <f t="shared" si="10"/>
        <v>0</v>
      </c>
      <c r="BL32" s="205">
        <f t="shared" si="27"/>
        <v>0</v>
      </c>
      <c r="BM32" s="205">
        <f t="shared" si="28"/>
        <v>0</v>
      </c>
      <c r="BN32" s="205">
        <f t="shared" si="11"/>
        <v>0</v>
      </c>
      <c r="BO32" s="205">
        <f t="shared" si="12"/>
        <v>0</v>
      </c>
      <c r="BP32" s="206"/>
      <c r="BQ32" s="277">
        <v>1</v>
      </c>
      <c r="BR32" s="208">
        <f t="shared" si="14"/>
        <v>0.58333333333333337</v>
      </c>
      <c r="BS32" s="219" t="str">
        <f t="shared" si="29"/>
        <v>Recursos con destinación especifica</v>
      </c>
      <c r="BT32" s="195">
        <f t="shared" si="13"/>
        <v>94245772833.333328</v>
      </c>
      <c r="BU32" s="196"/>
      <c r="BV32" s="196"/>
      <c r="BW32" s="196"/>
      <c r="BX32" s="196"/>
      <c r="BY32" s="196"/>
      <c r="BZ32" s="19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row>
    <row r="33" spans="1:235" s="159" customFormat="1" ht="57" x14ac:dyDescent="0.25">
      <c r="A33" s="197">
        <v>11300</v>
      </c>
      <c r="B33" s="194" t="s">
        <v>4</v>
      </c>
      <c r="C33" s="198" t="s">
        <v>160</v>
      </c>
      <c r="D33" s="194" t="s">
        <v>145</v>
      </c>
      <c r="E33" s="198" t="s">
        <v>161</v>
      </c>
      <c r="F33" s="194" t="s">
        <v>162</v>
      </c>
      <c r="G33" s="209" t="s">
        <v>123</v>
      </c>
      <c r="H33" s="216">
        <v>1</v>
      </c>
      <c r="I33" s="198" t="s">
        <v>313</v>
      </c>
      <c r="J33" s="194" t="s">
        <v>179</v>
      </c>
      <c r="K33" s="210">
        <v>51737471000</v>
      </c>
      <c r="L33" s="220">
        <v>1.2108861291163801E-3</v>
      </c>
      <c r="M33" s="194" t="s">
        <v>46</v>
      </c>
      <c r="N33" s="194" t="s">
        <v>68</v>
      </c>
      <c r="O33" s="194" t="s">
        <v>21</v>
      </c>
      <c r="P33" s="194" t="s">
        <v>36</v>
      </c>
      <c r="Q33" s="194" t="s">
        <v>213</v>
      </c>
      <c r="R33" s="194" t="s">
        <v>182</v>
      </c>
      <c r="S33" s="194" t="s">
        <v>99</v>
      </c>
      <c r="T33" s="211">
        <v>1</v>
      </c>
      <c r="U33" s="212" t="str">
        <f t="shared" si="15"/>
        <v>FONSAET</v>
      </c>
      <c r="V33" s="213">
        <f t="shared" si="15"/>
        <v>51737471000</v>
      </c>
      <c r="W33" s="214" t="s">
        <v>116</v>
      </c>
      <c r="X33" s="281">
        <v>0.25</v>
      </c>
      <c r="Y33" s="282" t="s">
        <v>179</v>
      </c>
      <c r="Z33" s="283">
        <v>12934367750</v>
      </c>
      <c r="AA33" s="279"/>
      <c r="AB33" s="279"/>
      <c r="AC33" s="280">
        <f t="shared" si="16"/>
        <v>0</v>
      </c>
      <c r="AD33" s="280">
        <f t="shared" si="17"/>
        <v>0</v>
      </c>
      <c r="AE33" s="280">
        <f t="shared" si="0"/>
        <v>0</v>
      </c>
      <c r="AF33" s="280">
        <f t="shared" si="1"/>
        <v>0</v>
      </c>
      <c r="AG33" s="281">
        <v>0.25</v>
      </c>
      <c r="AH33" s="282" t="s">
        <v>179</v>
      </c>
      <c r="AI33" s="283">
        <v>12934367750</v>
      </c>
      <c r="AJ33" s="279"/>
      <c r="AK33" s="279"/>
      <c r="AL33" s="280">
        <f>+(AJ33/AG33)</f>
        <v>0</v>
      </c>
      <c r="AM33" s="280">
        <f>+(AK33/AI33)</f>
        <v>0</v>
      </c>
      <c r="AN33" s="280">
        <f>+(AJ33+AA33)/T33</f>
        <v>0</v>
      </c>
      <c r="AO33" s="280">
        <f>+(AK33+AB33)/V33</f>
        <v>0</v>
      </c>
      <c r="AP33" s="281">
        <v>0.25</v>
      </c>
      <c r="AQ33" s="282" t="s">
        <v>179</v>
      </c>
      <c r="AR33" s="283">
        <v>12934367750</v>
      </c>
      <c r="AS33" s="279"/>
      <c r="AT33" s="279"/>
      <c r="AU33" s="280">
        <f t="shared" si="19"/>
        <v>0</v>
      </c>
      <c r="AV33" s="280">
        <f t="shared" si="20"/>
        <v>0</v>
      </c>
      <c r="AW33" s="280">
        <f t="shared" si="21"/>
        <v>0</v>
      </c>
      <c r="AX33" s="280">
        <f t="shared" si="22"/>
        <v>0</v>
      </c>
      <c r="AY33" s="281">
        <v>0.25</v>
      </c>
      <c r="AZ33" s="282" t="s">
        <v>179</v>
      </c>
      <c r="BA33" s="283">
        <v>12934367750</v>
      </c>
      <c r="BB33" s="279"/>
      <c r="BC33" s="279"/>
      <c r="BD33" s="281">
        <f t="shared" si="23"/>
        <v>0</v>
      </c>
      <c r="BE33" s="281">
        <f t="shared" si="24"/>
        <v>0</v>
      </c>
      <c r="BF33" s="281">
        <f>+(AJ33+AA33+AS33+BB33)/T33</f>
        <v>0</v>
      </c>
      <c r="BG33" s="281">
        <f>+(AK33+AB33+AT33+BC33)/V33</f>
        <v>0</v>
      </c>
      <c r="BH33" s="205">
        <f>IF(AND(X33=0,AA33=0),"No Prog ni Ejec",IF(X33=0,CONCATENATE("No Prog, Ejec=  ",AA33),AA33/X33))</f>
        <v>0</v>
      </c>
      <c r="BI33" s="205">
        <f>IF(AND(Z33=0,AB33=0),"No Prog ni Ejec",IF(Z33=0,CONCATENATE("No Prog, Ejec=  ",AB33),AB33/Z33))</f>
        <v>0</v>
      </c>
      <c r="BJ33" s="205">
        <f>IF(AND(AG33=0,AJ33=0),"No Prog ni Ejec",IF(AG33=0,CONCATENATE("No Prog, Ejec=  ",AJ33),AJ33/AG33))</f>
        <v>0</v>
      </c>
      <c r="BK33" s="205">
        <f>IF(AND(AI33=0,AK33=0),"No Prog ni Ejec",IF(AI33=0,CONCATENATE("No Prog, Ejec=  ",AK33),AK33/AI33))</f>
        <v>0</v>
      </c>
      <c r="BL33" s="205">
        <f>IF(AND(AP33=0,AS33=0),"No Prog ni Ejec",IF(AP33=0,CONCATENATE("No Prog, Ejec=  ",AS33),AS33/AP33))</f>
        <v>0</v>
      </c>
      <c r="BM33" s="205">
        <f t="shared" si="28"/>
        <v>0</v>
      </c>
      <c r="BN33" s="205">
        <f>IF(AND(AY33=0,BB33=0),"No Prog ni Ejec",IF(AY33=0,CONCATENATE("No Prog, Ejec=  ",BB33),BB33/AY33))</f>
        <v>0</v>
      </c>
      <c r="BO33" s="205">
        <f>IF(AND(BA33=0,BC33=0),"No Prog ni Ejec",IF(BA33=0,CONCATENATE("No Prog, Ejec=  ",BC33),BC33/BA33))</f>
        <v>0</v>
      </c>
      <c r="BP33" s="206"/>
      <c r="BQ33" s="277">
        <v>1</v>
      </c>
      <c r="BR33" s="208">
        <f t="shared" si="14"/>
        <v>0.58333333333333337</v>
      </c>
      <c r="BS33" s="219" t="str">
        <f t="shared" si="29"/>
        <v>FONSAET</v>
      </c>
      <c r="BT33" s="195">
        <f t="shared" si="13"/>
        <v>30180191416.666668</v>
      </c>
      <c r="BU33" s="196"/>
      <c r="BV33" s="196"/>
      <c r="BW33" s="196"/>
      <c r="BX33" s="196"/>
      <c r="BY33" s="196"/>
      <c r="BZ33" s="19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row>
    <row r="34" spans="1:235" s="159" customFormat="1" ht="57" x14ac:dyDescent="0.25">
      <c r="A34" s="197">
        <v>11300</v>
      </c>
      <c r="B34" s="194" t="s">
        <v>4</v>
      </c>
      <c r="C34" s="198" t="s">
        <v>160</v>
      </c>
      <c r="D34" s="194" t="s">
        <v>145</v>
      </c>
      <c r="E34" s="198" t="s">
        <v>161</v>
      </c>
      <c r="F34" s="194" t="s">
        <v>162</v>
      </c>
      <c r="G34" s="209" t="s">
        <v>123</v>
      </c>
      <c r="H34" s="216">
        <v>1</v>
      </c>
      <c r="I34" s="198" t="s">
        <v>314</v>
      </c>
      <c r="J34" s="194" t="s">
        <v>180</v>
      </c>
      <c r="K34" s="210">
        <v>4936416000</v>
      </c>
      <c r="L34" s="220">
        <v>1.1553401328696884E-4</v>
      </c>
      <c r="M34" s="194" t="s">
        <v>46</v>
      </c>
      <c r="N34" s="194" t="s">
        <v>68</v>
      </c>
      <c r="O34" s="194" t="s">
        <v>21</v>
      </c>
      <c r="P34" s="194" t="s">
        <v>36</v>
      </c>
      <c r="Q34" s="194" t="s">
        <v>213</v>
      </c>
      <c r="R34" s="194" t="s">
        <v>182</v>
      </c>
      <c r="S34" s="194" t="s">
        <v>99</v>
      </c>
      <c r="T34" s="211">
        <v>1</v>
      </c>
      <c r="U34" s="212" t="str">
        <f t="shared" si="15"/>
        <v>Rendimientos Financieros cuentas de recaudo EPS - SSF</v>
      </c>
      <c r="V34" s="213">
        <f t="shared" si="15"/>
        <v>4936416000</v>
      </c>
      <c r="W34" s="214" t="s">
        <v>116</v>
      </c>
      <c r="X34" s="281">
        <v>0.25</v>
      </c>
      <c r="Y34" s="282" t="s">
        <v>180</v>
      </c>
      <c r="Z34" s="283">
        <v>1234104000</v>
      </c>
      <c r="AA34" s="279"/>
      <c r="AB34" s="279"/>
      <c r="AC34" s="280">
        <f t="shared" si="16"/>
        <v>0</v>
      </c>
      <c r="AD34" s="280">
        <f t="shared" si="17"/>
        <v>0</v>
      </c>
      <c r="AE34" s="280">
        <f t="shared" si="0"/>
        <v>0</v>
      </c>
      <c r="AF34" s="280">
        <f t="shared" si="1"/>
        <v>0</v>
      </c>
      <c r="AG34" s="281">
        <v>0.25</v>
      </c>
      <c r="AH34" s="282" t="s">
        <v>180</v>
      </c>
      <c r="AI34" s="283">
        <v>1234104000</v>
      </c>
      <c r="AJ34" s="279"/>
      <c r="AK34" s="279"/>
      <c r="AL34" s="280">
        <f t="shared" si="18"/>
        <v>0</v>
      </c>
      <c r="AM34" s="280">
        <f t="shared" si="2"/>
        <v>0</v>
      </c>
      <c r="AN34" s="280">
        <f t="shared" si="3"/>
        <v>0</v>
      </c>
      <c r="AO34" s="280">
        <f t="shared" si="4"/>
        <v>0</v>
      </c>
      <c r="AP34" s="281">
        <v>0.25</v>
      </c>
      <c r="AQ34" s="282" t="s">
        <v>180</v>
      </c>
      <c r="AR34" s="283">
        <v>1234104000</v>
      </c>
      <c r="AS34" s="279"/>
      <c r="AT34" s="279"/>
      <c r="AU34" s="280">
        <f t="shared" si="19"/>
        <v>0</v>
      </c>
      <c r="AV34" s="280">
        <f t="shared" si="20"/>
        <v>0</v>
      </c>
      <c r="AW34" s="280">
        <f t="shared" si="21"/>
        <v>0</v>
      </c>
      <c r="AX34" s="280">
        <f t="shared" si="22"/>
        <v>0</v>
      </c>
      <c r="AY34" s="281">
        <v>0.25</v>
      </c>
      <c r="AZ34" s="282" t="s">
        <v>180</v>
      </c>
      <c r="BA34" s="283">
        <v>1234104000</v>
      </c>
      <c r="BB34" s="279"/>
      <c r="BC34" s="279"/>
      <c r="BD34" s="281">
        <f t="shared" si="23"/>
        <v>0</v>
      </c>
      <c r="BE34" s="281">
        <f t="shared" si="24"/>
        <v>0</v>
      </c>
      <c r="BF34" s="281">
        <f t="shared" si="25"/>
        <v>0</v>
      </c>
      <c r="BG34" s="281">
        <f t="shared" si="26"/>
        <v>0</v>
      </c>
      <c r="BH34" s="205">
        <f t="shared" si="7"/>
        <v>0</v>
      </c>
      <c r="BI34" s="205">
        <f t="shared" si="8"/>
        <v>0</v>
      </c>
      <c r="BJ34" s="205">
        <f t="shared" si="9"/>
        <v>0</v>
      </c>
      <c r="BK34" s="205">
        <f t="shared" si="10"/>
        <v>0</v>
      </c>
      <c r="BL34" s="205">
        <f t="shared" si="27"/>
        <v>0</v>
      </c>
      <c r="BM34" s="205">
        <f t="shared" si="28"/>
        <v>0</v>
      </c>
      <c r="BN34" s="205">
        <f t="shared" si="11"/>
        <v>0</v>
      </c>
      <c r="BO34" s="205">
        <f t="shared" si="12"/>
        <v>0</v>
      </c>
      <c r="BP34" s="206"/>
      <c r="BQ34" s="277">
        <v>1</v>
      </c>
      <c r="BR34" s="208">
        <f t="shared" si="14"/>
        <v>0.58333333333333337</v>
      </c>
      <c r="BS34" s="219" t="str">
        <f t="shared" si="29"/>
        <v>Rendimientos Financieros cuentas de recaudo EPS - SSF</v>
      </c>
      <c r="BT34" s="195">
        <f t="shared" si="13"/>
        <v>2879576000</v>
      </c>
      <c r="BU34" s="196"/>
      <c r="BV34" s="196"/>
      <c r="BW34" s="196"/>
      <c r="BX34" s="196"/>
      <c r="BY34" s="196"/>
      <c r="BZ34" s="19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row>
    <row r="35" spans="1:235" s="159" customFormat="1" ht="57" x14ac:dyDescent="0.25">
      <c r="A35" s="197">
        <v>11300</v>
      </c>
      <c r="B35" s="194" t="s">
        <v>4</v>
      </c>
      <c r="C35" s="198" t="s">
        <v>160</v>
      </c>
      <c r="D35" s="194" t="s">
        <v>145</v>
      </c>
      <c r="E35" s="198" t="s">
        <v>161</v>
      </c>
      <c r="F35" s="194" t="s">
        <v>162</v>
      </c>
      <c r="G35" s="209" t="s">
        <v>123</v>
      </c>
      <c r="H35" s="216">
        <v>1</v>
      </c>
      <c r="I35" s="198" t="s">
        <v>315</v>
      </c>
      <c r="J35" s="194" t="s">
        <v>181</v>
      </c>
      <c r="K35" s="210">
        <v>50000000000</v>
      </c>
      <c r="L35" s="220">
        <v>1.1702216070016065E-3</v>
      </c>
      <c r="M35" s="194" t="s">
        <v>46</v>
      </c>
      <c r="N35" s="194" t="s">
        <v>68</v>
      </c>
      <c r="O35" s="194" t="s">
        <v>21</v>
      </c>
      <c r="P35" s="194" t="s">
        <v>36</v>
      </c>
      <c r="Q35" s="194" t="s">
        <v>213</v>
      </c>
      <c r="R35" s="194" t="s">
        <v>182</v>
      </c>
      <c r="S35" s="194" t="s">
        <v>99</v>
      </c>
      <c r="T35" s="211">
        <v>1</v>
      </c>
      <c r="U35" s="212" t="str">
        <f t="shared" si="15"/>
        <v>Fortalecimientos Patrimonial a las Entidades del Sector salud</v>
      </c>
      <c r="V35" s="213">
        <f t="shared" si="15"/>
        <v>50000000000</v>
      </c>
      <c r="W35" s="214" t="s">
        <v>116</v>
      </c>
      <c r="X35" s="281">
        <v>0.25</v>
      </c>
      <c r="Y35" s="282" t="s">
        <v>181</v>
      </c>
      <c r="Z35" s="283">
        <v>12500000000</v>
      </c>
      <c r="AA35" s="279"/>
      <c r="AB35" s="279"/>
      <c r="AC35" s="280">
        <f t="shared" si="16"/>
        <v>0</v>
      </c>
      <c r="AD35" s="280">
        <f t="shared" si="17"/>
        <v>0</v>
      </c>
      <c r="AE35" s="280">
        <f t="shared" si="0"/>
        <v>0</v>
      </c>
      <c r="AF35" s="280">
        <f t="shared" si="1"/>
        <v>0</v>
      </c>
      <c r="AG35" s="281">
        <v>0.25</v>
      </c>
      <c r="AH35" s="282" t="s">
        <v>181</v>
      </c>
      <c r="AI35" s="283">
        <v>12500000000</v>
      </c>
      <c r="AJ35" s="279"/>
      <c r="AK35" s="279"/>
      <c r="AL35" s="280">
        <f t="shared" si="18"/>
        <v>0</v>
      </c>
      <c r="AM35" s="280">
        <f t="shared" si="2"/>
        <v>0</v>
      </c>
      <c r="AN35" s="280">
        <f t="shared" si="3"/>
        <v>0</v>
      </c>
      <c r="AO35" s="280">
        <f t="shared" si="4"/>
        <v>0</v>
      </c>
      <c r="AP35" s="281">
        <v>0.25</v>
      </c>
      <c r="AQ35" s="282" t="s">
        <v>181</v>
      </c>
      <c r="AR35" s="283">
        <v>12500000000</v>
      </c>
      <c r="AS35" s="279"/>
      <c r="AT35" s="279"/>
      <c r="AU35" s="280">
        <f t="shared" si="19"/>
        <v>0</v>
      </c>
      <c r="AV35" s="280">
        <f t="shared" si="20"/>
        <v>0</v>
      </c>
      <c r="AW35" s="280">
        <f t="shared" si="21"/>
        <v>0</v>
      </c>
      <c r="AX35" s="280">
        <f t="shared" si="22"/>
        <v>0</v>
      </c>
      <c r="AY35" s="281">
        <v>0.25</v>
      </c>
      <c r="AZ35" s="282" t="s">
        <v>181</v>
      </c>
      <c r="BA35" s="283">
        <v>12500000000</v>
      </c>
      <c r="BB35" s="279"/>
      <c r="BC35" s="279"/>
      <c r="BD35" s="281">
        <f t="shared" si="23"/>
        <v>0</v>
      </c>
      <c r="BE35" s="281">
        <f t="shared" si="24"/>
        <v>0</v>
      </c>
      <c r="BF35" s="281">
        <f t="shared" si="25"/>
        <v>0</v>
      </c>
      <c r="BG35" s="281">
        <f t="shared" si="26"/>
        <v>0</v>
      </c>
      <c r="BH35" s="205">
        <f t="shared" si="7"/>
        <v>0</v>
      </c>
      <c r="BI35" s="205">
        <f t="shared" si="8"/>
        <v>0</v>
      </c>
      <c r="BJ35" s="205">
        <f t="shared" si="9"/>
        <v>0</v>
      </c>
      <c r="BK35" s="205">
        <f t="shared" si="10"/>
        <v>0</v>
      </c>
      <c r="BL35" s="205">
        <f t="shared" si="27"/>
        <v>0</v>
      </c>
      <c r="BM35" s="205">
        <f t="shared" si="28"/>
        <v>0</v>
      </c>
      <c r="BN35" s="205">
        <f t="shared" si="11"/>
        <v>0</v>
      </c>
      <c r="BO35" s="205">
        <f t="shared" si="12"/>
        <v>0</v>
      </c>
      <c r="BP35" s="206"/>
      <c r="BQ35" s="277">
        <v>1</v>
      </c>
      <c r="BR35" s="208">
        <f t="shared" si="14"/>
        <v>0.58333333333333337</v>
      </c>
      <c r="BS35" s="219" t="str">
        <f t="shared" si="29"/>
        <v>Fortalecimientos Patrimonial a las Entidades del Sector salud</v>
      </c>
      <c r="BT35" s="195">
        <f t="shared" si="13"/>
        <v>29166666666.666668</v>
      </c>
      <c r="BU35" s="196"/>
      <c r="BV35" s="196"/>
      <c r="BW35" s="196"/>
      <c r="BX35" s="196"/>
      <c r="BY35" s="196"/>
      <c r="BZ35" s="19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row>
    <row r="36" spans="1:235" s="156" customFormat="1" ht="57" x14ac:dyDescent="0.25">
      <c r="A36" s="197">
        <v>11300</v>
      </c>
      <c r="B36" s="194" t="s">
        <v>4</v>
      </c>
      <c r="C36" s="198" t="s">
        <v>160</v>
      </c>
      <c r="D36" s="194" t="s">
        <v>145</v>
      </c>
      <c r="E36" s="198" t="s">
        <v>578</v>
      </c>
      <c r="F36" s="194" t="s">
        <v>574</v>
      </c>
      <c r="G36" s="209" t="s">
        <v>124</v>
      </c>
      <c r="H36" s="198">
        <v>12</v>
      </c>
      <c r="I36" s="198" t="s">
        <v>579</v>
      </c>
      <c r="J36" s="194" t="s">
        <v>245</v>
      </c>
      <c r="K36" s="210">
        <v>53187356</v>
      </c>
      <c r="L36" s="211">
        <v>1</v>
      </c>
      <c r="M36" s="194" t="s">
        <v>46</v>
      </c>
      <c r="N36" s="194" t="s">
        <v>68</v>
      </c>
      <c r="O36" s="194" t="s">
        <v>21</v>
      </c>
      <c r="P36" s="194" t="s">
        <v>36</v>
      </c>
      <c r="Q36" s="194" t="s">
        <v>213</v>
      </c>
      <c r="R36" s="194" t="s">
        <v>626</v>
      </c>
      <c r="S36" s="194" t="s">
        <v>99</v>
      </c>
      <c r="T36" s="221">
        <v>12</v>
      </c>
      <c r="U36" s="212" t="str">
        <f t="shared" si="15"/>
        <v>Realizar Informes de Ejecución Presupuestal</v>
      </c>
      <c r="V36" s="213">
        <f t="shared" si="15"/>
        <v>53187356</v>
      </c>
      <c r="W36" s="222" t="s">
        <v>114</v>
      </c>
      <c r="X36" s="215">
        <v>3</v>
      </c>
      <c r="Y36" s="214" t="s">
        <v>245</v>
      </c>
      <c r="Z36" s="210">
        <v>12240000</v>
      </c>
      <c r="AA36" s="196"/>
      <c r="AB36" s="196"/>
      <c r="AC36" s="204">
        <f t="shared" si="16"/>
        <v>0</v>
      </c>
      <c r="AD36" s="204">
        <f t="shared" si="17"/>
        <v>0</v>
      </c>
      <c r="AE36" s="204">
        <f t="shared" si="0"/>
        <v>0</v>
      </c>
      <c r="AF36" s="204">
        <f t="shared" si="1"/>
        <v>0</v>
      </c>
      <c r="AG36" s="215">
        <v>3</v>
      </c>
      <c r="AH36" s="214" t="s">
        <v>245</v>
      </c>
      <c r="AI36" s="210">
        <v>12240000</v>
      </c>
      <c r="AJ36" s="196"/>
      <c r="AK36" s="196"/>
      <c r="AL36" s="204">
        <f t="shared" si="18"/>
        <v>0</v>
      </c>
      <c r="AM36" s="204">
        <f t="shared" si="2"/>
        <v>0</v>
      </c>
      <c r="AN36" s="204">
        <f t="shared" si="3"/>
        <v>0</v>
      </c>
      <c r="AO36" s="204">
        <f t="shared" si="4"/>
        <v>0</v>
      </c>
      <c r="AP36" s="215">
        <v>3</v>
      </c>
      <c r="AQ36" s="214" t="s">
        <v>245</v>
      </c>
      <c r="AR36" s="210">
        <v>13296839</v>
      </c>
      <c r="AS36" s="196"/>
      <c r="AT36" s="196"/>
      <c r="AU36" s="204">
        <f t="shared" si="19"/>
        <v>0</v>
      </c>
      <c r="AV36" s="204">
        <f t="shared" si="20"/>
        <v>0</v>
      </c>
      <c r="AW36" s="204">
        <f t="shared" si="21"/>
        <v>0</v>
      </c>
      <c r="AX36" s="204">
        <f t="shared" si="22"/>
        <v>0</v>
      </c>
      <c r="AY36" s="215">
        <v>3</v>
      </c>
      <c r="AZ36" s="214" t="s">
        <v>245</v>
      </c>
      <c r="BA36" s="210">
        <v>15410517</v>
      </c>
      <c r="BB36" s="196"/>
      <c r="BC36" s="196"/>
      <c r="BD36" s="216">
        <f t="shared" si="23"/>
        <v>0</v>
      </c>
      <c r="BE36" s="216">
        <f t="shared" si="24"/>
        <v>0</v>
      </c>
      <c r="BF36" s="216">
        <f t="shared" si="25"/>
        <v>0</v>
      </c>
      <c r="BG36" s="216">
        <f t="shared" si="26"/>
        <v>0</v>
      </c>
      <c r="BH36" s="223">
        <f t="shared" si="7"/>
        <v>0</v>
      </c>
      <c r="BI36" s="223">
        <f t="shared" si="8"/>
        <v>0</v>
      </c>
      <c r="BJ36" s="223">
        <f t="shared" si="9"/>
        <v>0</v>
      </c>
      <c r="BK36" s="223">
        <f t="shared" si="10"/>
        <v>0</v>
      </c>
      <c r="BL36" s="223">
        <f t="shared" si="27"/>
        <v>0</v>
      </c>
      <c r="BM36" s="223">
        <f t="shared" si="28"/>
        <v>0</v>
      </c>
      <c r="BN36" s="223">
        <f t="shared" si="11"/>
        <v>0</v>
      </c>
      <c r="BO36" s="223">
        <f t="shared" si="12"/>
        <v>0</v>
      </c>
      <c r="BP36" s="206"/>
      <c r="BQ36" s="277">
        <v>1</v>
      </c>
      <c r="BR36" s="218">
        <f t="shared" si="14"/>
        <v>7</v>
      </c>
      <c r="BS36" s="219" t="str">
        <f t="shared" si="29"/>
        <v>Realizar Informes de Ejecución Presupuestal</v>
      </c>
      <c r="BT36" s="195">
        <f t="shared" si="13"/>
        <v>28912279.666666668</v>
      </c>
      <c r="BU36" s="196"/>
      <c r="BV36" s="196"/>
      <c r="BW36" s="196"/>
      <c r="BX36" s="196"/>
      <c r="BY36" s="196"/>
      <c r="BZ36" s="19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row>
    <row r="37" spans="1:235" s="159" customFormat="1" ht="57" x14ac:dyDescent="0.25">
      <c r="A37" s="197">
        <v>11300</v>
      </c>
      <c r="B37" s="194" t="s">
        <v>4</v>
      </c>
      <c r="C37" s="198" t="s">
        <v>160</v>
      </c>
      <c r="D37" s="194" t="s">
        <v>145</v>
      </c>
      <c r="E37" s="198" t="s">
        <v>580</v>
      </c>
      <c r="F37" s="194" t="s">
        <v>246</v>
      </c>
      <c r="G37" s="209" t="s">
        <v>123</v>
      </c>
      <c r="H37" s="211">
        <v>1</v>
      </c>
      <c r="I37" s="198" t="s">
        <v>581</v>
      </c>
      <c r="J37" s="194" t="s">
        <v>247</v>
      </c>
      <c r="K37" s="210">
        <v>243106560</v>
      </c>
      <c r="L37" s="211">
        <v>1</v>
      </c>
      <c r="M37" s="194" t="s">
        <v>46</v>
      </c>
      <c r="N37" s="194" t="s">
        <v>68</v>
      </c>
      <c r="O37" s="194" t="s">
        <v>21</v>
      </c>
      <c r="P37" s="194" t="s">
        <v>36</v>
      </c>
      <c r="Q37" s="194" t="s">
        <v>214</v>
      </c>
      <c r="R37" s="194" t="s">
        <v>594</v>
      </c>
      <c r="S37" s="194" t="s">
        <v>99</v>
      </c>
      <c r="T37" s="211">
        <v>1</v>
      </c>
      <c r="U37" s="212" t="str">
        <f t="shared" si="15"/>
        <v>Seguimiento e identificación del Recaudo</v>
      </c>
      <c r="V37" s="213">
        <f t="shared" si="15"/>
        <v>243106560</v>
      </c>
      <c r="W37" s="222" t="s">
        <v>114</v>
      </c>
      <c r="X37" s="281">
        <v>0.25</v>
      </c>
      <c r="Y37" s="282" t="s">
        <v>247</v>
      </c>
      <c r="Z37" s="283">
        <v>60776640</v>
      </c>
      <c r="AA37" s="279"/>
      <c r="AB37" s="279"/>
      <c r="AC37" s="280">
        <f t="shared" si="16"/>
        <v>0</v>
      </c>
      <c r="AD37" s="280">
        <f t="shared" si="17"/>
        <v>0</v>
      </c>
      <c r="AE37" s="280">
        <f t="shared" si="0"/>
        <v>0</v>
      </c>
      <c r="AF37" s="280">
        <f t="shared" si="1"/>
        <v>0</v>
      </c>
      <c r="AG37" s="281">
        <v>0.25</v>
      </c>
      <c r="AH37" s="282" t="s">
        <v>247</v>
      </c>
      <c r="AI37" s="283">
        <v>60776640</v>
      </c>
      <c r="AJ37" s="279"/>
      <c r="AK37" s="279"/>
      <c r="AL37" s="280">
        <f t="shared" si="18"/>
        <v>0</v>
      </c>
      <c r="AM37" s="280">
        <f t="shared" si="2"/>
        <v>0</v>
      </c>
      <c r="AN37" s="280">
        <f t="shared" si="3"/>
        <v>0</v>
      </c>
      <c r="AO37" s="280">
        <f t="shared" si="4"/>
        <v>0</v>
      </c>
      <c r="AP37" s="281">
        <v>0.25</v>
      </c>
      <c r="AQ37" s="282" t="s">
        <v>247</v>
      </c>
      <c r="AR37" s="283">
        <v>60776640</v>
      </c>
      <c r="AS37" s="279"/>
      <c r="AT37" s="279"/>
      <c r="AU37" s="280">
        <f t="shared" si="19"/>
        <v>0</v>
      </c>
      <c r="AV37" s="280">
        <f t="shared" si="20"/>
        <v>0</v>
      </c>
      <c r="AW37" s="280">
        <f t="shared" si="21"/>
        <v>0</v>
      </c>
      <c r="AX37" s="280">
        <f t="shared" si="22"/>
        <v>0</v>
      </c>
      <c r="AY37" s="281">
        <v>0.25</v>
      </c>
      <c r="AZ37" s="282" t="s">
        <v>247</v>
      </c>
      <c r="BA37" s="283">
        <v>60776640</v>
      </c>
      <c r="BB37" s="279"/>
      <c r="BC37" s="279"/>
      <c r="BD37" s="281">
        <f t="shared" si="23"/>
        <v>0</v>
      </c>
      <c r="BE37" s="281">
        <f t="shared" si="24"/>
        <v>0</v>
      </c>
      <c r="BF37" s="281">
        <f t="shared" si="25"/>
        <v>0</v>
      </c>
      <c r="BG37" s="281">
        <f t="shared" si="26"/>
        <v>0</v>
      </c>
      <c r="BH37" s="205">
        <f t="shared" si="7"/>
        <v>0</v>
      </c>
      <c r="BI37" s="205">
        <f t="shared" si="8"/>
        <v>0</v>
      </c>
      <c r="BJ37" s="205">
        <f t="shared" si="9"/>
        <v>0</v>
      </c>
      <c r="BK37" s="205">
        <f t="shared" si="10"/>
        <v>0</v>
      </c>
      <c r="BL37" s="205">
        <f t="shared" si="27"/>
        <v>0</v>
      </c>
      <c r="BM37" s="205">
        <f t="shared" si="28"/>
        <v>0</v>
      </c>
      <c r="BN37" s="205">
        <f t="shared" si="11"/>
        <v>0</v>
      </c>
      <c r="BO37" s="205">
        <f t="shared" si="12"/>
        <v>0</v>
      </c>
      <c r="BP37" s="206"/>
      <c r="BQ37" s="277">
        <v>1</v>
      </c>
      <c r="BR37" s="208">
        <f t="shared" si="14"/>
        <v>0.58333333333333337</v>
      </c>
      <c r="BS37" s="219" t="str">
        <f t="shared" si="29"/>
        <v>Seguimiento e identificación del Recaudo</v>
      </c>
      <c r="BT37" s="195">
        <f t="shared" si="13"/>
        <v>141812160</v>
      </c>
      <c r="BU37" s="196"/>
      <c r="BV37" s="196"/>
      <c r="BW37" s="196"/>
      <c r="BX37" s="196"/>
      <c r="BY37" s="196"/>
      <c r="BZ37" s="19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row>
    <row r="38" spans="1:235" s="153" customFormat="1" ht="57" x14ac:dyDescent="0.25">
      <c r="A38" s="197">
        <v>11300</v>
      </c>
      <c r="B38" s="194" t="s">
        <v>4</v>
      </c>
      <c r="C38" s="198" t="s">
        <v>160</v>
      </c>
      <c r="D38" s="194" t="s">
        <v>145</v>
      </c>
      <c r="E38" s="198" t="s">
        <v>580</v>
      </c>
      <c r="F38" s="194" t="s">
        <v>246</v>
      </c>
      <c r="G38" s="199" t="s">
        <v>124</v>
      </c>
      <c r="H38" s="224">
        <v>12</v>
      </c>
      <c r="I38" s="198" t="s">
        <v>582</v>
      </c>
      <c r="J38" s="194" t="s">
        <v>575</v>
      </c>
      <c r="K38" s="210">
        <v>0</v>
      </c>
      <c r="L38" s="225">
        <v>1</v>
      </c>
      <c r="M38" s="194" t="s">
        <v>46</v>
      </c>
      <c r="N38" s="194" t="s">
        <v>68</v>
      </c>
      <c r="O38" s="194" t="s">
        <v>21</v>
      </c>
      <c r="P38" s="194" t="s">
        <v>36</v>
      </c>
      <c r="Q38" s="194" t="s">
        <v>214</v>
      </c>
      <c r="R38" s="194" t="s">
        <v>631</v>
      </c>
      <c r="S38" s="194" t="s">
        <v>99</v>
      </c>
      <c r="T38" s="221">
        <v>12</v>
      </c>
      <c r="U38" s="212" t="str">
        <f t="shared" si="15"/>
        <v>Informe Mensual de Recaudo Efectivo</v>
      </c>
      <c r="V38" s="213">
        <f t="shared" si="15"/>
        <v>0</v>
      </c>
      <c r="W38" s="214" t="s">
        <v>117</v>
      </c>
      <c r="X38" s="215">
        <v>3</v>
      </c>
      <c r="Y38" s="214" t="s">
        <v>575</v>
      </c>
      <c r="Z38" s="210">
        <v>0</v>
      </c>
      <c r="AA38" s="196"/>
      <c r="AB38" s="196"/>
      <c r="AC38" s="204">
        <f t="shared" si="16"/>
        <v>0</v>
      </c>
      <c r="AD38" s="204" t="e">
        <f t="shared" si="17"/>
        <v>#DIV/0!</v>
      </c>
      <c r="AE38" s="204">
        <f t="shared" si="0"/>
        <v>0</v>
      </c>
      <c r="AF38" s="204" t="e">
        <f t="shared" si="1"/>
        <v>#DIV/0!</v>
      </c>
      <c r="AG38" s="215">
        <v>3</v>
      </c>
      <c r="AH38" s="214" t="s">
        <v>575</v>
      </c>
      <c r="AI38" s="210">
        <v>0</v>
      </c>
      <c r="AJ38" s="196"/>
      <c r="AK38" s="196"/>
      <c r="AL38" s="204">
        <f t="shared" si="18"/>
        <v>0</v>
      </c>
      <c r="AM38" s="204" t="e">
        <f t="shared" si="2"/>
        <v>#DIV/0!</v>
      </c>
      <c r="AN38" s="204">
        <f t="shared" si="3"/>
        <v>0</v>
      </c>
      <c r="AO38" s="204" t="e">
        <f t="shared" si="4"/>
        <v>#DIV/0!</v>
      </c>
      <c r="AP38" s="215">
        <v>3</v>
      </c>
      <c r="AQ38" s="214" t="s">
        <v>575</v>
      </c>
      <c r="AR38" s="210">
        <v>0</v>
      </c>
      <c r="AS38" s="196"/>
      <c r="AT38" s="196"/>
      <c r="AU38" s="204">
        <f t="shared" si="19"/>
        <v>0</v>
      </c>
      <c r="AV38" s="204" t="e">
        <f t="shared" si="20"/>
        <v>#DIV/0!</v>
      </c>
      <c r="AW38" s="204">
        <f t="shared" si="21"/>
        <v>0</v>
      </c>
      <c r="AX38" s="204" t="e">
        <f t="shared" si="22"/>
        <v>#DIV/0!</v>
      </c>
      <c r="AY38" s="215">
        <v>3</v>
      </c>
      <c r="AZ38" s="214" t="s">
        <v>575</v>
      </c>
      <c r="BA38" s="210">
        <v>0</v>
      </c>
      <c r="BB38" s="196"/>
      <c r="BC38" s="196"/>
      <c r="BD38" s="216">
        <f t="shared" si="23"/>
        <v>0</v>
      </c>
      <c r="BE38" s="216" t="e">
        <f t="shared" si="24"/>
        <v>#DIV/0!</v>
      </c>
      <c r="BF38" s="216">
        <f t="shared" si="25"/>
        <v>0</v>
      </c>
      <c r="BG38" s="216" t="e">
        <f t="shared" si="26"/>
        <v>#DIV/0!</v>
      </c>
      <c r="BH38" s="217">
        <f t="shared" si="7"/>
        <v>0</v>
      </c>
      <c r="BI38" s="217" t="str">
        <f t="shared" si="8"/>
        <v>No Prog ni Ejec</v>
      </c>
      <c r="BJ38" s="217">
        <f t="shared" si="9"/>
        <v>0</v>
      </c>
      <c r="BK38" s="217" t="str">
        <f t="shared" si="10"/>
        <v>No Prog ni Ejec</v>
      </c>
      <c r="BL38" s="217">
        <f t="shared" si="27"/>
        <v>0</v>
      </c>
      <c r="BM38" s="217" t="str">
        <f t="shared" si="28"/>
        <v>No Prog ni Ejec</v>
      </c>
      <c r="BN38" s="217">
        <f t="shared" si="11"/>
        <v>0</v>
      </c>
      <c r="BO38" s="217" t="str">
        <f t="shared" si="12"/>
        <v>No Prog ni Ejec</v>
      </c>
      <c r="BP38" s="206"/>
      <c r="BQ38" s="277">
        <v>1</v>
      </c>
      <c r="BR38" s="218">
        <f t="shared" si="14"/>
        <v>7</v>
      </c>
      <c r="BS38" s="219" t="str">
        <f t="shared" si="29"/>
        <v>Informe Mensual de Recaudo Efectivo</v>
      </c>
      <c r="BT38" s="195">
        <f t="shared" si="13"/>
        <v>0</v>
      </c>
      <c r="BU38" s="196"/>
      <c r="BV38" s="196"/>
      <c r="BW38" s="196"/>
      <c r="BX38" s="196"/>
      <c r="BY38" s="196"/>
      <c r="BZ38" s="19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row>
    <row r="39" spans="1:235" s="153" customFormat="1" ht="57" x14ac:dyDescent="0.25">
      <c r="A39" s="197">
        <v>11300</v>
      </c>
      <c r="B39" s="194" t="s">
        <v>4</v>
      </c>
      <c r="C39" s="198" t="s">
        <v>160</v>
      </c>
      <c r="D39" s="194" t="s">
        <v>145</v>
      </c>
      <c r="E39" s="198" t="s">
        <v>580</v>
      </c>
      <c r="F39" s="194" t="s">
        <v>246</v>
      </c>
      <c r="G39" s="209" t="s">
        <v>123</v>
      </c>
      <c r="H39" s="211">
        <v>1</v>
      </c>
      <c r="I39" s="198" t="s">
        <v>583</v>
      </c>
      <c r="J39" s="194" t="s">
        <v>248</v>
      </c>
      <c r="K39" s="210">
        <v>0</v>
      </c>
      <c r="L39" s="211">
        <v>1</v>
      </c>
      <c r="M39" s="194" t="s">
        <v>46</v>
      </c>
      <c r="N39" s="194" t="s">
        <v>68</v>
      </c>
      <c r="O39" s="194" t="s">
        <v>21</v>
      </c>
      <c r="P39" s="194" t="s">
        <v>36</v>
      </c>
      <c r="Q39" s="194" t="s">
        <v>214</v>
      </c>
      <c r="R39" s="194" t="s">
        <v>249</v>
      </c>
      <c r="S39" s="194" t="s">
        <v>99</v>
      </c>
      <c r="T39" s="211">
        <v>1</v>
      </c>
      <c r="U39" s="212" t="str">
        <f t="shared" si="15"/>
        <v>Seguimiento a Partidas Sin Identificar</v>
      </c>
      <c r="V39" s="213">
        <f t="shared" si="15"/>
        <v>0</v>
      </c>
      <c r="W39" s="214" t="s">
        <v>117</v>
      </c>
      <c r="X39" s="216">
        <v>0.25</v>
      </c>
      <c r="Y39" s="214" t="s">
        <v>248</v>
      </c>
      <c r="Z39" s="210">
        <v>0</v>
      </c>
      <c r="AA39" s="196"/>
      <c r="AB39" s="196"/>
      <c r="AC39" s="204">
        <f t="shared" si="16"/>
        <v>0</v>
      </c>
      <c r="AD39" s="204" t="e">
        <f t="shared" si="17"/>
        <v>#DIV/0!</v>
      </c>
      <c r="AE39" s="204">
        <f t="shared" si="0"/>
        <v>0</v>
      </c>
      <c r="AF39" s="204" t="e">
        <f t="shared" si="1"/>
        <v>#DIV/0!</v>
      </c>
      <c r="AG39" s="216">
        <v>0.25</v>
      </c>
      <c r="AH39" s="214" t="s">
        <v>248</v>
      </c>
      <c r="AI39" s="210">
        <v>0</v>
      </c>
      <c r="AJ39" s="196"/>
      <c r="AK39" s="196"/>
      <c r="AL39" s="204">
        <f t="shared" si="18"/>
        <v>0</v>
      </c>
      <c r="AM39" s="204" t="e">
        <f t="shared" si="2"/>
        <v>#DIV/0!</v>
      </c>
      <c r="AN39" s="204">
        <f t="shared" si="3"/>
        <v>0</v>
      </c>
      <c r="AO39" s="204" t="e">
        <f t="shared" si="4"/>
        <v>#DIV/0!</v>
      </c>
      <c r="AP39" s="216">
        <v>0.25</v>
      </c>
      <c r="AQ39" s="214" t="s">
        <v>248</v>
      </c>
      <c r="AR39" s="210">
        <v>0</v>
      </c>
      <c r="AS39" s="196"/>
      <c r="AT39" s="196"/>
      <c r="AU39" s="204">
        <f t="shared" si="19"/>
        <v>0</v>
      </c>
      <c r="AV39" s="204" t="e">
        <f t="shared" si="20"/>
        <v>#DIV/0!</v>
      </c>
      <c r="AW39" s="204">
        <f t="shared" si="21"/>
        <v>0</v>
      </c>
      <c r="AX39" s="204" t="e">
        <f t="shared" si="22"/>
        <v>#DIV/0!</v>
      </c>
      <c r="AY39" s="216">
        <v>0.25</v>
      </c>
      <c r="AZ39" s="214" t="s">
        <v>248</v>
      </c>
      <c r="BA39" s="210">
        <v>0</v>
      </c>
      <c r="BB39" s="196"/>
      <c r="BC39" s="196"/>
      <c r="BD39" s="216">
        <f t="shared" si="23"/>
        <v>0</v>
      </c>
      <c r="BE39" s="216" t="e">
        <f t="shared" si="24"/>
        <v>#DIV/0!</v>
      </c>
      <c r="BF39" s="216">
        <f t="shared" si="25"/>
        <v>0</v>
      </c>
      <c r="BG39" s="216" t="e">
        <f t="shared" si="26"/>
        <v>#DIV/0!</v>
      </c>
      <c r="BH39" s="217">
        <f t="shared" si="7"/>
        <v>0</v>
      </c>
      <c r="BI39" s="217" t="str">
        <f t="shared" si="8"/>
        <v>No Prog ni Ejec</v>
      </c>
      <c r="BJ39" s="217">
        <f t="shared" si="9"/>
        <v>0</v>
      </c>
      <c r="BK39" s="217" t="str">
        <f t="shared" si="10"/>
        <v>No Prog ni Ejec</v>
      </c>
      <c r="BL39" s="217">
        <f t="shared" si="27"/>
        <v>0</v>
      </c>
      <c r="BM39" s="217" t="str">
        <f t="shared" si="28"/>
        <v>No Prog ni Ejec</v>
      </c>
      <c r="BN39" s="217">
        <f t="shared" si="11"/>
        <v>0</v>
      </c>
      <c r="BO39" s="217" t="str">
        <f t="shared" si="12"/>
        <v>No Prog ni Ejec</v>
      </c>
      <c r="BP39" s="206"/>
      <c r="BQ39" s="277">
        <v>1</v>
      </c>
      <c r="BR39" s="208">
        <f t="shared" si="14"/>
        <v>0.58333333333333337</v>
      </c>
      <c r="BS39" s="219" t="str">
        <f t="shared" si="29"/>
        <v>Seguimiento a Partidas Sin Identificar</v>
      </c>
      <c r="BT39" s="195">
        <f t="shared" si="13"/>
        <v>0</v>
      </c>
      <c r="BU39" s="196"/>
      <c r="BV39" s="196"/>
      <c r="BW39" s="196"/>
      <c r="BX39" s="196"/>
      <c r="BY39" s="196"/>
      <c r="BZ39" s="19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row>
    <row r="40" spans="1:235" s="159" customFormat="1" ht="57" x14ac:dyDescent="0.25">
      <c r="A40" s="197">
        <v>11300</v>
      </c>
      <c r="B40" s="194" t="s">
        <v>4</v>
      </c>
      <c r="C40" s="198" t="s">
        <v>160</v>
      </c>
      <c r="D40" s="194" t="s">
        <v>145</v>
      </c>
      <c r="E40" s="198" t="s">
        <v>584</v>
      </c>
      <c r="F40" s="194" t="s">
        <v>251</v>
      </c>
      <c r="G40" s="209" t="s">
        <v>123</v>
      </c>
      <c r="H40" s="211">
        <v>1</v>
      </c>
      <c r="I40" s="198" t="s">
        <v>585</v>
      </c>
      <c r="J40" s="194" t="s">
        <v>250</v>
      </c>
      <c r="K40" s="210">
        <v>292066560</v>
      </c>
      <c r="L40" s="211">
        <v>1</v>
      </c>
      <c r="M40" s="194" t="s">
        <v>46</v>
      </c>
      <c r="N40" s="194" t="s">
        <v>68</v>
      </c>
      <c r="O40" s="194" t="s">
        <v>21</v>
      </c>
      <c r="P40" s="194" t="s">
        <v>36</v>
      </c>
      <c r="Q40" s="194" t="s">
        <v>215</v>
      </c>
      <c r="R40" s="194" t="s">
        <v>595</v>
      </c>
      <c r="S40" s="194" t="s">
        <v>99</v>
      </c>
      <c r="T40" s="216">
        <v>1</v>
      </c>
      <c r="U40" s="212" t="str">
        <f t="shared" si="15"/>
        <v>Ordenes de Giros tramitadas</v>
      </c>
      <c r="V40" s="213">
        <f t="shared" si="15"/>
        <v>292066560</v>
      </c>
      <c r="W40" s="222" t="s">
        <v>114</v>
      </c>
      <c r="X40" s="281">
        <v>0.25</v>
      </c>
      <c r="Y40" s="282" t="s">
        <v>250</v>
      </c>
      <c r="Z40" s="283">
        <v>73016640</v>
      </c>
      <c r="AA40" s="279"/>
      <c r="AB40" s="279"/>
      <c r="AC40" s="280">
        <f t="shared" si="16"/>
        <v>0</v>
      </c>
      <c r="AD40" s="280">
        <f t="shared" si="17"/>
        <v>0</v>
      </c>
      <c r="AE40" s="280">
        <f t="shared" si="0"/>
        <v>0</v>
      </c>
      <c r="AF40" s="280">
        <f t="shared" si="1"/>
        <v>0</v>
      </c>
      <c r="AG40" s="281">
        <v>0.25</v>
      </c>
      <c r="AH40" s="282" t="s">
        <v>250</v>
      </c>
      <c r="AI40" s="283">
        <v>73016640</v>
      </c>
      <c r="AJ40" s="279"/>
      <c r="AK40" s="279"/>
      <c r="AL40" s="280">
        <f t="shared" si="18"/>
        <v>0</v>
      </c>
      <c r="AM40" s="280">
        <f t="shared" si="2"/>
        <v>0</v>
      </c>
      <c r="AN40" s="280">
        <f t="shared" si="3"/>
        <v>0</v>
      </c>
      <c r="AO40" s="280">
        <f t="shared" si="4"/>
        <v>0</v>
      </c>
      <c r="AP40" s="281">
        <v>0.25</v>
      </c>
      <c r="AQ40" s="282" t="s">
        <v>250</v>
      </c>
      <c r="AR40" s="283">
        <v>73016640</v>
      </c>
      <c r="AS40" s="279"/>
      <c r="AT40" s="279"/>
      <c r="AU40" s="280">
        <f t="shared" si="19"/>
        <v>0</v>
      </c>
      <c r="AV40" s="280">
        <f t="shared" si="20"/>
        <v>0</v>
      </c>
      <c r="AW40" s="280">
        <f t="shared" si="21"/>
        <v>0</v>
      </c>
      <c r="AX40" s="280">
        <f t="shared" si="22"/>
        <v>0</v>
      </c>
      <c r="AY40" s="281">
        <v>0.25</v>
      </c>
      <c r="AZ40" s="282" t="s">
        <v>250</v>
      </c>
      <c r="BA40" s="283">
        <v>73016640</v>
      </c>
      <c r="BB40" s="279"/>
      <c r="BC40" s="279"/>
      <c r="BD40" s="281">
        <f t="shared" si="23"/>
        <v>0</v>
      </c>
      <c r="BE40" s="281">
        <f t="shared" si="24"/>
        <v>0</v>
      </c>
      <c r="BF40" s="281">
        <f t="shared" si="25"/>
        <v>0</v>
      </c>
      <c r="BG40" s="281">
        <f t="shared" si="26"/>
        <v>0</v>
      </c>
      <c r="BH40" s="205">
        <f t="shared" si="7"/>
        <v>0</v>
      </c>
      <c r="BI40" s="205">
        <f t="shared" si="8"/>
        <v>0</v>
      </c>
      <c r="BJ40" s="205">
        <f t="shared" si="9"/>
        <v>0</v>
      </c>
      <c r="BK40" s="205">
        <f t="shared" si="10"/>
        <v>0</v>
      </c>
      <c r="BL40" s="205">
        <f t="shared" si="27"/>
        <v>0</v>
      </c>
      <c r="BM40" s="205">
        <f t="shared" si="28"/>
        <v>0</v>
      </c>
      <c r="BN40" s="205">
        <f t="shared" si="11"/>
        <v>0</v>
      </c>
      <c r="BO40" s="205">
        <f t="shared" si="12"/>
        <v>0</v>
      </c>
      <c r="BP40" s="206"/>
      <c r="BQ40" s="277">
        <v>1</v>
      </c>
      <c r="BR40" s="208">
        <f t="shared" si="14"/>
        <v>0.58333333333333337</v>
      </c>
      <c r="BS40" s="219" t="str">
        <f t="shared" si="29"/>
        <v>Ordenes de Giros tramitadas</v>
      </c>
      <c r="BT40" s="195">
        <f t="shared" si="13"/>
        <v>170372160</v>
      </c>
      <c r="BU40" s="196"/>
      <c r="BV40" s="196"/>
      <c r="BW40" s="196"/>
      <c r="BX40" s="196"/>
      <c r="BY40" s="196"/>
      <c r="BZ40" s="19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row>
    <row r="41" spans="1:235" s="156" customFormat="1" ht="57" x14ac:dyDescent="0.25">
      <c r="A41" s="197">
        <v>11300</v>
      </c>
      <c r="B41" s="194" t="s">
        <v>4</v>
      </c>
      <c r="C41" s="198" t="s">
        <v>160</v>
      </c>
      <c r="D41" s="194" t="s">
        <v>145</v>
      </c>
      <c r="E41" s="198" t="s">
        <v>586</v>
      </c>
      <c r="F41" s="194" t="s">
        <v>252</v>
      </c>
      <c r="G41" s="209" t="s">
        <v>123</v>
      </c>
      <c r="H41" s="211">
        <v>1</v>
      </c>
      <c r="I41" s="198" t="s">
        <v>587</v>
      </c>
      <c r="J41" s="194" t="s">
        <v>253</v>
      </c>
      <c r="K41" s="210">
        <v>48960000</v>
      </c>
      <c r="L41" s="211">
        <v>1</v>
      </c>
      <c r="M41" s="194" t="s">
        <v>46</v>
      </c>
      <c r="N41" s="194" t="s">
        <v>68</v>
      </c>
      <c r="O41" s="194" t="s">
        <v>21</v>
      </c>
      <c r="P41" s="194" t="s">
        <v>36</v>
      </c>
      <c r="Q41" s="194" t="s">
        <v>215</v>
      </c>
      <c r="R41" s="194" t="s">
        <v>596</v>
      </c>
      <c r="S41" s="194" t="s">
        <v>99</v>
      </c>
      <c r="T41" s="216">
        <v>1</v>
      </c>
      <c r="U41" s="212" t="str">
        <f t="shared" si="15"/>
        <v>Boletines</v>
      </c>
      <c r="V41" s="213">
        <f t="shared" si="15"/>
        <v>48960000</v>
      </c>
      <c r="W41" s="222" t="s">
        <v>114</v>
      </c>
      <c r="X41" s="216">
        <v>0.25</v>
      </c>
      <c r="Y41" s="214" t="s">
        <v>253</v>
      </c>
      <c r="Z41" s="210">
        <v>12240000</v>
      </c>
      <c r="AA41" s="196"/>
      <c r="AB41" s="196"/>
      <c r="AC41" s="204">
        <f t="shared" si="16"/>
        <v>0</v>
      </c>
      <c r="AD41" s="204">
        <f t="shared" si="17"/>
        <v>0</v>
      </c>
      <c r="AE41" s="204">
        <f t="shared" si="0"/>
        <v>0</v>
      </c>
      <c r="AF41" s="204">
        <f t="shared" si="1"/>
        <v>0</v>
      </c>
      <c r="AG41" s="216">
        <v>0.25</v>
      </c>
      <c r="AH41" s="214" t="s">
        <v>253</v>
      </c>
      <c r="AI41" s="210">
        <v>12240000</v>
      </c>
      <c r="AJ41" s="196"/>
      <c r="AK41" s="196"/>
      <c r="AL41" s="204">
        <f t="shared" si="18"/>
        <v>0</v>
      </c>
      <c r="AM41" s="204">
        <f t="shared" si="2"/>
        <v>0</v>
      </c>
      <c r="AN41" s="204">
        <f t="shared" si="3"/>
        <v>0</v>
      </c>
      <c r="AO41" s="204">
        <f t="shared" si="4"/>
        <v>0</v>
      </c>
      <c r="AP41" s="216">
        <v>0.25</v>
      </c>
      <c r="AQ41" s="214" t="s">
        <v>253</v>
      </c>
      <c r="AR41" s="210">
        <v>12240000</v>
      </c>
      <c r="AS41" s="196"/>
      <c r="AT41" s="196"/>
      <c r="AU41" s="204">
        <f t="shared" si="19"/>
        <v>0</v>
      </c>
      <c r="AV41" s="204">
        <f t="shared" si="20"/>
        <v>0</v>
      </c>
      <c r="AW41" s="204">
        <f t="shared" si="21"/>
        <v>0</v>
      </c>
      <c r="AX41" s="204">
        <f t="shared" si="22"/>
        <v>0</v>
      </c>
      <c r="AY41" s="216">
        <v>0.25</v>
      </c>
      <c r="AZ41" s="214" t="s">
        <v>253</v>
      </c>
      <c r="BA41" s="210">
        <v>12240000</v>
      </c>
      <c r="BB41" s="196"/>
      <c r="BC41" s="196"/>
      <c r="BD41" s="216">
        <f t="shared" si="23"/>
        <v>0</v>
      </c>
      <c r="BE41" s="216">
        <f t="shared" si="24"/>
        <v>0</v>
      </c>
      <c r="BF41" s="216">
        <f t="shared" si="25"/>
        <v>0</v>
      </c>
      <c r="BG41" s="216">
        <f t="shared" si="26"/>
        <v>0</v>
      </c>
      <c r="BH41" s="223">
        <f t="shared" si="7"/>
        <v>0</v>
      </c>
      <c r="BI41" s="223">
        <f t="shared" si="8"/>
        <v>0</v>
      </c>
      <c r="BJ41" s="223">
        <f t="shared" si="9"/>
        <v>0</v>
      </c>
      <c r="BK41" s="223">
        <f t="shared" si="10"/>
        <v>0</v>
      </c>
      <c r="BL41" s="223">
        <f t="shared" si="27"/>
        <v>0</v>
      </c>
      <c r="BM41" s="223">
        <f t="shared" si="28"/>
        <v>0</v>
      </c>
      <c r="BN41" s="223">
        <f t="shared" si="11"/>
        <v>0</v>
      </c>
      <c r="BO41" s="223">
        <f t="shared" si="12"/>
        <v>0</v>
      </c>
      <c r="BP41" s="206"/>
      <c r="BQ41" s="277">
        <v>1</v>
      </c>
      <c r="BR41" s="208">
        <f t="shared" si="14"/>
        <v>0.58333333333333337</v>
      </c>
      <c r="BS41" s="219" t="str">
        <f t="shared" si="29"/>
        <v>Boletines</v>
      </c>
      <c r="BT41" s="195">
        <f t="shared" si="13"/>
        <v>28560000</v>
      </c>
      <c r="BU41" s="196"/>
      <c r="BV41" s="196"/>
      <c r="BW41" s="196"/>
      <c r="BX41" s="196"/>
      <c r="BY41" s="196"/>
      <c r="BZ41" s="19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row>
    <row r="42" spans="1:235" s="156" customFormat="1" ht="57" x14ac:dyDescent="0.25">
      <c r="A42" s="197">
        <v>11300</v>
      </c>
      <c r="B42" s="194" t="s">
        <v>4</v>
      </c>
      <c r="C42" s="198" t="s">
        <v>160</v>
      </c>
      <c r="D42" s="194" t="s">
        <v>145</v>
      </c>
      <c r="E42" s="198" t="s">
        <v>588</v>
      </c>
      <c r="F42" s="194" t="s">
        <v>254</v>
      </c>
      <c r="G42" s="209" t="s">
        <v>124</v>
      </c>
      <c r="H42" s="198">
        <v>4</v>
      </c>
      <c r="I42" s="198" t="s">
        <v>589</v>
      </c>
      <c r="J42" s="194" t="s">
        <v>254</v>
      </c>
      <c r="K42" s="210">
        <v>272680404</v>
      </c>
      <c r="L42" s="211">
        <v>1</v>
      </c>
      <c r="M42" s="194" t="s">
        <v>46</v>
      </c>
      <c r="N42" s="194" t="s">
        <v>68</v>
      </c>
      <c r="O42" s="194" t="s">
        <v>21</v>
      </c>
      <c r="P42" s="194" t="s">
        <v>36</v>
      </c>
      <c r="Q42" s="194" t="s">
        <v>215</v>
      </c>
      <c r="R42" s="194" t="s">
        <v>255</v>
      </c>
      <c r="S42" s="194" t="s">
        <v>99</v>
      </c>
      <c r="T42" s="221">
        <v>4</v>
      </c>
      <c r="U42" s="212" t="str">
        <f t="shared" si="15"/>
        <v>Estados Financieros</v>
      </c>
      <c r="V42" s="213">
        <f t="shared" si="15"/>
        <v>272680404</v>
      </c>
      <c r="W42" s="222" t="s">
        <v>114</v>
      </c>
      <c r="X42" s="215">
        <v>1</v>
      </c>
      <c r="Y42" s="214" t="s">
        <v>254</v>
      </c>
      <c r="Z42" s="210">
        <v>68170101</v>
      </c>
      <c r="AA42" s="196"/>
      <c r="AB42" s="196"/>
      <c r="AC42" s="204">
        <f t="shared" si="16"/>
        <v>0</v>
      </c>
      <c r="AD42" s="204">
        <f t="shared" si="17"/>
        <v>0</v>
      </c>
      <c r="AE42" s="204">
        <f t="shared" si="0"/>
        <v>0</v>
      </c>
      <c r="AF42" s="204">
        <f t="shared" si="1"/>
        <v>0</v>
      </c>
      <c r="AG42" s="215">
        <v>1</v>
      </c>
      <c r="AH42" s="214" t="s">
        <v>254</v>
      </c>
      <c r="AI42" s="210">
        <v>68170101</v>
      </c>
      <c r="AJ42" s="196"/>
      <c r="AK42" s="196"/>
      <c r="AL42" s="204">
        <f t="shared" si="18"/>
        <v>0</v>
      </c>
      <c r="AM42" s="204">
        <f t="shared" si="2"/>
        <v>0</v>
      </c>
      <c r="AN42" s="204">
        <f t="shared" si="3"/>
        <v>0</v>
      </c>
      <c r="AO42" s="204">
        <f t="shared" si="4"/>
        <v>0</v>
      </c>
      <c r="AP42" s="215">
        <v>1</v>
      </c>
      <c r="AQ42" s="214" t="s">
        <v>254</v>
      </c>
      <c r="AR42" s="210">
        <v>68170101</v>
      </c>
      <c r="AS42" s="196"/>
      <c r="AT42" s="196"/>
      <c r="AU42" s="204">
        <f t="shared" si="19"/>
        <v>0</v>
      </c>
      <c r="AV42" s="204">
        <f t="shared" si="20"/>
        <v>0</v>
      </c>
      <c r="AW42" s="204">
        <f t="shared" si="21"/>
        <v>0</v>
      </c>
      <c r="AX42" s="204">
        <f t="shared" si="22"/>
        <v>0</v>
      </c>
      <c r="AY42" s="215">
        <v>1</v>
      </c>
      <c r="AZ42" s="214" t="s">
        <v>254</v>
      </c>
      <c r="BA42" s="210">
        <v>68170101</v>
      </c>
      <c r="BB42" s="196"/>
      <c r="BC42" s="196"/>
      <c r="BD42" s="216">
        <f t="shared" si="23"/>
        <v>0</v>
      </c>
      <c r="BE42" s="216">
        <f t="shared" si="24"/>
        <v>0</v>
      </c>
      <c r="BF42" s="216">
        <f t="shared" si="25"/>
        <v>0</v>
      </c>
      <c r="BG42" s="216">
        <f t="shared" si="26"/>
        <v>0</v>
      </c>
      <c r="BH42" s="223">
        <f t="shared" si="7"/>
        <v>0</v>
      </c>
      <c r="BI42" s="223">
        <f t="shared" si="8"/>
        <v>0</v>
      </c>
      <c r="BJ42" s="223">
        <f t="shared" si="9"/>
        <v>0</v>
      </c>
      <c r="BK42" s="223">
        <f t="shared" si="10"/>
        <v>0</v>
      </c>
      <c r="BL42" s="223">
        <f t="shared" si="27"/>
        <v>0</v>
      </c>
      <c r="BM42" s="223">
        <f t="shared" si="28"/>
        <v>0</v>
      </c>
      <c r="BN42" s="223">
        <f t="shared" si="11"/>
        <v>0</v>
      </c>
      <c r="BO42" s="223">
        <f t="shared" si="12"/>
        <v>0</v>
      </c>
      <c r="BP42" s="206"/>
      <c r="BQ42" s="277">
        <v>1</v>
      </c>
      <c r="BR42" s="218">
        <f t="shared" si="14"/>
        <v>2.3333333333333335</v>
      </c>
      <c r="BS42" s="219" t="str">
        <f t="shared" si="29"/>
        <v>Estados Financieros</v>
      </c>
      <c r="BT42" s="195">
        <f t="shared" si="13"/>
        <v>159063569</v>
      </c>
      <c r="BU42" s="196"/>
      <c r="BV42" s="196"/>
      <c r="BW42" s="196"/>
      <c r="BX42" s="196"/>
      <c r="BY42" s="196"/>
      <c r="BZ42" s="19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row>
    <row r="43" spans="1:235" s="153" customFormat="1" ht="57" x14ac:dyDescent="0.25">
      <c r="A43" s="197">
        <v>11300</v>
      </c>
      <c r="B43" s="194" t="s">
        <v>4</v>
      </c>
      <c r="C43" s="198" t="s">
        <v>160</v>
      </c>
      <c r="D43" s="194" t="s">
        <v>145</v>
      </c>
      <c r="E43" s="198" t="s">
        <v>590</v>
      </c>
      <c r="F43" s="194" t="s">
        <v>257</v>
      </c>
      <c r="G43" s="209" t="s">
        <v>124</v>
      </c>
      <c r="H43" s="198">
        <v>4</v>
      </c>
      <c r="I43" s="198" t="s">
        <v>591</v>
      </c>
      <c r="J43" s="194" t="s">
        <v>258</v>
      </c>
      <c r="K43" s="210">
        <v>0</v>
      </c>
      <c r="L43" s="211">
        <v>1</v>
      </c>
      <c r="M43" s="194" t="s">
        <v>46</v>
      </c>
      <c r="N43" s="194" t="s">
        <v>68</v>
      </c>
      <c r="O43" s="194" t="s">
        <v>21</v>
      </c>
      <c r="P43" s="194" t="s">
        <v>36</v>
      </c>
      <c r="Q43" s="194" t="s">
        <v>212</v>
      </c>
      <c r="R43" s="194" t="s">
        <v>137</v>
      </c>
      <c r="S43" s="194" t="s">
        <v>99</v>
      </c>
      <c r="T43" s="221">
        <v>4</v>
      </c>
      <c r="U43" s="212" t="str">
        <f t="shared" si="15"/>
        <v>Informe</v>
      </c>
      <c r="V43" s="213">
        <f t="shared" si="15"/>
        <v>0</v>
      </c>
      <c r="W43" s="222" t="s">
        <v>114</v>
      </c>
      <c r="X43" s="215">
        <v>1</v>
      </c>
      <c r="Y43" s="214" t="s">
        <v>258</v>
      </c>
      <c r="Z43" s="210">
        <v>0</v>
      </c>
      <c r="AA43" s="196"/>
      <c r="AB43" s="196"/>
      <c r="AC43" s="204">
        <f t="shared" si="16"/>
        <v>0</v>
      </c>
      <c r="AD43" s="204" t="e">
        <f t="shared" si="17"/>
        <v>#DIV/0!</v>
      </c>
      <c r="AE43" s="204">
        <f t="shared" si="0"/>
        <v>0</v>
      </c>
      <c r="AF43" s="204" t="e">
        <f t="shared" si="1"/>
        <v>#DIV/0!</v>
      </c>
      <c r="AG43" s="215">
        <v>1</v>
      </c>
      <c r="AH43" s="214" t="s">
        <v>258</v>
      </c>
      <c r="AI43" s="210">
        <v>0</v>
      </c>
      <c r="AJ43" s="196"/>
      <c r="AK43" s="196"/>
      <c r="AL43" s="204">
        <f t="shared" si="18"/>
        <v>0</v>
      </c>
      <c r="AM43" s="204" t="e">
        <f t="shared" si="2"/>
        <v>#DIV/0!</v>
      </c>
      <c r="AN43" s="204">
        <f t="shared" si="3"/>
        <v>0</v>
      </c>
      <c r="AO43" s="204" t="e">
        <f t="shared" si="4"/>
        <v>#DIV/0!</v>
      </c>
      <c r="AP43" s="215">
        <v>1</v>
      </c>
      <c r="AQ43" s="214" t="s">
        <v>258</v>
      </c>
      <c r="AR43" s="210">
        <v>0</v>
      </c>
      <c r="AS43" s="196"/>
      <c r="AT43" s="196"/>
      <c r="AU43" s="204">
        <f t="shared" si="19"/>
        <v>0</v>
      </c>
      <c r="AV43" s="204" t="e">
        <f t="shared" si="20"/>
        <v>#DIV/0!</v>
      </c>
      <c r="AW43" s="204">
        <f t="shared" si="21"/>
        <v>0</v>
      </c>
      <c r="AX43" s="204" t="e">
        <f t="shared" si="22"/>
        <v>#DIV/0!</v>
      </c>
      <c r="AY43" s="215">
        <v>1</v>
      </c>
      <c r="AZ43" s="214" t="s">
        <v>258</v>
      </c>
      <c r="BA43" s="210">
        <v>0</v>
      </c>
      <c r="BB43" s="196"/>
      <c r="BC43" s="196"/>
      <c r="BD43" s="216">
        <f t="shared" si="23"/>
        <v>0</v>
      </c>
      <c r="BE43" s="216" t="e">
        <f t="shared" si="24"/>
        <v>#DIV/0!</v>
      </c>
      <c r="BF43" s="216">
        <f t="shared" si="25"/>
        <v>0</v>
      </c>
      <c r="BG43" s="216" t="e">
        <f t="shared" si="26"/>
        <v>#DIV/0!</v>
      </c>
      <c r="BH43" s="217">
        <f t="shared" si="7"/>
        <v>0</v>
      </c>
      <c r="BI43" s="217" t="str">
        <f t="shared" si="8"/>
        <v>No Prog ni Ejec</v>
      </c>
      <c r="BJ43" s="217">
        <f t="shared" si="9"/>
        <v>0</v>
      </c>
      <c r="BK43" s="217" t="str">
        <f t="shared" si="10"/>
        <v>No Prog ni Ejec</v>
      </c>
      <c r="BL43" s="217">
        <f t="shared" si="27"/>
        <v>0</v>
      </c>
      <c r="BM43" s="217" t="str">
        <f t="shared" si="28"/>
        <v>No Prog ni Ejec</v>
      </c>
      <c r="BN43" s="217">
        <f t="shared" si="11"/>
        <v>0</v>
      </c>
      <c r="BO43" s="217" t="str">
        <f t="shared" si="12"/>
        <v>No Prog ni Ejec</v>
      </c>
      <c r="BP43" s="206"/>
      <c r="BQ43" s="277">
        <v>1</v>
      </c>
      <c r="BR43" s="218">
        <f t="shared" si="14"/>
        <v>2.3333333333333335</v>
      </c>
      <c r="BS43" s="219" t="str">
        <f t="shared" si="29"/>
        <v>Informe</v>
      </c>
      <c r="BT43" s="195">
        <f t="shared" si="13"/>
        <v>0</v>
      </c>
      <c r="BU43" s="196"/>
      <c r="BV43" s="196"/>
      <c r="BW43" s="196"/>
      <c r="BX43" s="196"/>
      <c r="BY43" s="196"/>
      <c r="BZ43" s="19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row>
    <row r="44" spans="1:235" s="159" customFormat="1" ht="57" x14ac:dyDescent="0.25">
      <c r="A44" s="197">
        <v>11300</v>
      </c>
      <c r="B44" s="194" t="s">
        <v>4</v>
      </c>
      <c r="C44" s="198" t="s">
        <v>160</v>
      </c>
      <c r="D44" s="194" t="s">
        <v>145</v>
      </c>
      <c r="E44" s="198" t="s">
        <v>592</v>
      </c>
      <c r="F44" s="194" t="s">
        <v>571</v>
      </c>
      <c r="G44" s="209" t="s">
        <v>123</v>
      </c>
      <c r="H44" s="226">
        <v>1</v>
      </c>
      <c r="I44" s="198" t="s">
        <v>593</v>
      </c>
      <c r="J44" s="194" t="s">
        <v>571</v>
      </c>
      <c r="K44" s="210">
        <v>580945500</v>
      </c>
      <c r="L44" s="211">
        <v>1</v>
      </c>
      <c r="M44" s="194" t="s">
        <v>46</v>
      </c>
      <c r="N44" s="194" t="s">
        <v>68</v>
      </c>
      <c r="O44" s="194" t="s">
        <v>21</v>
      </c>
      <c r="P44" s="194" t="s">
        <v>36</v>
      </c>
      <c r="Q44" s="194" t="s">
        <v>212</v>
      </c>
      <c r="R44" s="194" t="s">
        <v>379</v>
      </c>
      <c r="S44" s="194" t="s">
        <v>99</v>
      </c>
      <c r="T44" s="211">
        <v>1</v>
      </c>
      <c r="U44" s="212" t="str">
        <f t="shared" si="15"/>
        <v>Administración y Custodia del Portafolio de Inversión</v>
      </c>
      <c r="V44" s="213">
        <f t="shared" si="15"/>
        <v>580945500</v>
      </c>
      <c r="W44" s="222" t="s">
        <v>114</v>
      </c>
      <c r="X44" s="281">
        <v>0.25</v>
      </c>
      <c r="Y44" s="282" t="s">
        <v>571</v>
      </c>
      <c r="Z44" s="283">
        <v>0</v>
      </c>
      <c r="AA44" s="279"/>
      <c r="AB44" s="279"/>
      <c r="AC44" s="280">
        <f t="shared" si="16"/>
        <v>0</v>
      </c>
      <c r="AD44" s="280" t="e">
        <f t="shared" si="17"/>
        <v>#DIV/0!</v>
      </c>
      <c r="AE44" s="280">
        <f t="shared" si="0"/>
        <v>0</v>
      </c>
      <c r="AF44" s="280">
        <f t="shared" si="1"/>
        <v>0</v>
      </c>
      <c r="AG44" s="281">
        <v>0.25</v>
      </c>
      <c r="AH44" s="282" t="s">
        <v>571</v>
      </c>
      <c r="AI44" s="283">
        <v>193648499.99999997</v>
      </c>
      <c r="AJ44" s="279"/>
      <c r="AK44" s="279"/>
      <c r="AL44" s="280">
        <f t="shared" si="18"/>
        <v>0</v>
      </c>
      <c r="AM44" s="280">
        <f t="shared" si="2"/>
        <v>0</v>
      </c>
      <c r="AN44" s="280">
        <f t="shared" si="3"/>
        <v>0</v>
      </c>
      <c r="AO44" s="280">
        <f t="shared" si="4"/>
        <v>0</v>
      </c>
      <c r="AP44" s="281">
        <v>0.25</v>
      </c>
      <c r="AQ44" s="282" t="s">
        <v>571</v>
      </c>
      <c r="AR44" s="283">
        <v>193648499.99999997</v>
      </c>
      <c r="AS44" s="279"/>
      <c r="AT44" s="279"/>
      <c r="AU44" s="280">
        <f t="shared" si="19"/>
        <v>0</v>
      </c>
      <c r="AV44" s="280">
        <f t="shared" si="20"/>
        <v>0</v>
      </c>
      <c r="AW44" s="280">
        <f t="shared" si="21"/>
        <v>0</v>
      </c>
      <c r="AX44" s="280">
        <f t="shared" si="22"/>
        <v>0</v>
      </c>
      <c r="AY44" s="281">
        <v>0.25</v>
      </c>
      <c r="AZ44" s="282" t="s">
        <v>571</v>
      </c>
      <c r="BA44" s="283">
        <v>193648499.99999997</v>
      </c>
      <c r="BB44" s="279"/>
      <c r="BC44" s="279"/>
      <c r="BD44" s="281">
        <f t="shared" si="23"/>
        <v>0</v>
      </c>
      <c r="BE44" s="281">
        <f t="shared" si="24"/>
        <v>0</v>
      </c>
      <c r="BF44" s="281">
        <f t="shared" si="25"/>
        <v>0</v>
      </c>
      <c r="BG44" s="281">
        <f t="shared" si="26"/>
        <v>0</v>
      </c>
      <c r="BH44" s="205">
        <f t="shared" si="7"/>
        <v>0</v>
      </c>
      <c r="BI44" s="205" t="str">
        <f t="shared" si="8"/>
        <v>No Prog ni Ejec</v>
      </c>
      <c r="BJ44" s="205">
        <f t="shared" si="9"/>
        <v>0</v>
      </c>
      <c r="BK44" s="205">
        <f t="shared" si="10"/>
        <v>0</v>
      </c>
      <c r="BL44" s="205">
        <f t="shared" si="27"/>
        <v>0</v>
      </c>
      <c r="BM44" s="205">
        <f t="shared" si="28"/>
        <v>0</v>
      </c>
      <c r="BN44" s="205">
        <f t="shared" si="11"/>
        <v>0</v>
      </c>
      <c r="BO44" s="205">
        <f t="shared" si="12"/>
        <v>0</v>
      </c>
      <c r="BP44" s="206"/>
      <c r="BQ44" s="277">
        <v>2</v>
      </c>
      <c r="BR44" s="208">
        <f t="shared" si="14"/>
        <v>0.58333333333333337</v>
      </c>
      <c r="BS44" s="219" t="str">
        <f t="shared" si="29"/>
        <v>Administración y Custodia del Portafolio de Inversión</v>
      </c>
      <c r="BT44" s="195">
        <f t="shared" si="13"/>
        <v>258197999.99999997</v>
      </c>
      <c r="BU44" s="196"/>
      <c r="BV44" s="196"/>
      <c r="BW44" s="196"/>
      <c r="BX44" s="196"/>
      <c r="BY44" s="196"/>
      <c r="BZ44" s="19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6"/>
      <c r="GX44" s="146"/>
      <c r="GY44" s="146"/>
      <c r="GZ44" s="146"/>
      <c r="HA44" s="146"/>
      <c r="HB44" s="146"/>
      <c r="HC44" s="146"/>
      <c r="HD44" s="146"/>
      <c r="HE44" s="146"/>
      <c r="HF44" s="146"/>
      <c r="HG44" s="146"/>
      <c r="HH44" s="146"/>
      <c r="HI44" s="146"/>
      <c r="HJ44" s="146"/>
      <c r="HK44" s="146"/>
      <c r="HL44" s="146"/>
      <c r="HM44" s="146"/>
      <c r="HN44" s="146"/>
      <c r="HO44" s="146"/>
      <c r="HP44" s="146"/>
      <c r="HQ44" s="146"/>
      <c r="HR44" s="146"/>
      <c r="HS44" s="146"/>
      <c r="HT44" s="146"/>
      <c r="HU44" s="146"/>
      <c r="HV44" s="146"/>
      <c r="HW44" s="146"/>
      <c r="HX44" s="146"/>
      <c r="HY44" s="146"/>
      <c r="HZ44" s="146"/>
      <c r="IA44" s="146"/>
    </row>
    <row r="45" spans="1:235" s="153" customFormat="1" ht="57" x14ac:dyDescent="0.25">
      <c r="A45" s="197">
        <v>11400</v>
      </c>
      <c r="B45" s="194" t="s">
        <v>26</v>
      </c>
      <c r="C45" s="198" t="s">
        <v>183</v>
      </c>
      <c r="D45" s="194" t="s">
        <v>153</v>
      </c>
      <c r="E45" s="198" t="s">
        <v>185</v>
      </c>
      <c r="F45" s="194" t="s">
        <v>133</v>
      </c>
      <c r="G45" s="209" t="s">
        <v>124</v>
      </c>
      <c r="H45" s="198">
        <v>4</v>
      </c>
      <c r="I45" s="198" t="s">
        <v>316</v>
      </c>
      <c r="J45" s="194" t="s">
        <v>24</v>
      </c>
      <c r="K45" s="210">
        <v>0</v>
      </c>
      <c r="L45" s="211">
        <v>1</v>
      </c>
      <c r="M45" s="194" t="s">
        <v>51</v>
      </c>
      <c r="N45" s="194" t="s">
        <v>68</v>
      </c>
      <c r="O45" s="194" t="s">
        <v>21</v>
      </c>
      <c r="P45" s="194" t="s">
        <v>36</v>
      </c>
      <c r="Q45" s="194" t="s">
        <v>75</v>
      </c>
      <c r="R45" s="194" t="s">
        <v>631</v>
      </c>
      <c r="S45" s="194" t="s">
        <v>98</v>
      </c>
      <c r="T45" s="198">
        <v>4</v>
      </c>
      <c r="U45" s="212" t="str">
        <f t="shared" si="15"/>
        <v>Reportar el cumplimiento del Plan de Acción de la Dependencia</v>
      </c>
      <c r="V45" s="213">
        <f t="shared" si="15"/>
        <v>0</v>
      </c>
      <c r="W45" s="214" t="s">
        <v>117</v>
      </c>
      <c r="X45" s="215">
        <v>1</v>
      </c>
      <c r="Y45" s="214" t="s">
        <v>24</v>
      </c>
      <c r="Z45" s="210">
        <v>0</v>
      </c>
      <c r="AA45" s="196"/>
      <c r="AB45" s="196"/>
      <c r="AC45" s="204">
        <f t="shared" si="16"/>
        <v>0</v>
      </c>
      <c r="AD45" s="204" t="e">
        <f t="shared" si="17"/>
        <v>#DIV/0!</v>
      </c>
      <c r="AE45" s="204">
        <f t="shared" si="0"/>
        <v>0</v>
      </c>
      <c r="AF45" s="204" t="e">
        <f t="shared" si="1"/>
        <v>#DIV/0!</v>
      </c>
      <c r="AG45" s="215">
        <v>1</v>
      </c>
      <c r="AH45" s="214" t="s">
        <v>24</v>
      </c>
      <c r="AI45" s="210">
        <v>0</v>
      </c>
      <c r="AJ45" s="196"/>
      <c r="AK45" s="196"/>
      <c r="AL45" s="204">
        <f t="shared" si="18"/>
        <v>0</v>
      </c>
      <c r="AM45" s="204" t="e">
        <f t="shared" si="2"/>
        <v>#DIV/0!</v>
      </c>
      <c r="AN45" s="204">
        <f t="shared" si="3"/>
        <v>0</v>
      </c>
      <c r="AO45" s="204" t="e">
        <f t="shared" si="4"/>
        <v>#DIV/0!</v>
      </c>
      <c r="AP45" s="215">
        <v>1</v>
      </c>
      <c r="AQ45" s="214" t="s">
        <v>24</v>
      </c>
      <c r="AR45" s="210">
        <v>0</v>
      </c>
      <c r="AS45" s="196"/>
      <c r="AT45" s="196"/>
      <c r="AU45" s="204">
        <f t="shared" si="19"/>
        <v>0</v>
      </c>
      <c r="AV45" s="204" t="e">
        <f t="shared" si="20"/>
        <v>#DIV/0!</v>
      </c>
      <c r="AW45" s="204">
        <f t="shared" si="21"/>
        <v>0</v>
      </c>
      <c r="AX45" s="204" t="e">
        <f t="shared" si="22"/>
        <v>#DIV/0!</v>
      </c>
      <c r="AY45" s="215">
        <v>1</v>
      </c>
      <c r="AZ45" s="214" t="s">
        <v>24</v>
      </c>
      <c r="BA45" s="210">
        <v>0</v>
      </c>
      <c r="BB45" s="196"/>
      <c r="BC45" s="196"/>
      <c r="BD45" s="216">
        <f t="shared" si="23"/>
        <v>0</v>
      </c>
      <c r="BE45" s="216" t="e">
        <f t="shared" si="24"/>
        <v>#DIV/0!</v>
      </c>
      <c r="BF45" s="216">
        <f t="shared" si="25"/>
        <v>0</v>
      </c>
      <c r="BG45" s="216" t="e">
        <f t="shared" si="26"/>
        <v>#DIV/0!</v>
      </c>
      <c r="BH45" s="217">
        <f t="shared" si="7"/>
        <v>0</v>
      </c>
      <c r="BI45" s="217" t="str">
        <f t="shared" si="8"/>
        <v>No Prog ni Ejec</v>
      </c>
      <c r="BJ45" s="217">
        <f t="shared" si="9"/>
        <v>0</v>
      </c>
      <c r="BK45" s="217" t="str">
        <f t="shared" si="10"/>
        <v>No Prog ni Ejec</v>
      </c>
      <c r="BL45" s="217">
        <f t="shared" si="27"/>
        <v>0</v>
      </c>
      <c r="BM45" s="217" t="str">
        <f t="shared" si="28"/>
        <v>No Prog ni Ejec</v>
      </c>
      <c r="BN45" s="217">
        <f t="shared" si="11"/>
        <v>0</v>
      </c>
      <c r="BO45" s="217" t="str">
        <f t="shared" si="12"/>
        <v>No Prog ni Ejec</v>
      </c>
      <c r="BP45" s="206"/>
      <c r="BQ45" s="277">
        <v>5</v>
      </c>
      <c r="BR45" s="218">
        <f t="shared" si="14"/>
        <v>2.3333333333333335</v>
      </c>
      <c r="BS45" s="219" t="str">
        <f t="shared" si="29"/>
        <v>Reportar el cumplimiento del Plan de Acción de la Dependencia</v>
      </c>
      <c r="BT45" s="195">
        <f t="shared" si="13"/>
        <v>0</v>
      </c>
      <c r="BU45" s="196"/>
      <c r="BV45" s="196"/>
      <c r="BW45" s="196"/>
      <c r="BX45" s="196"/>
      <c r="BY45" s="196"/>
      <c r="BZ45" s="19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6"/>
      <c r="GB45" s="146"/>
      <c r="GC45" s="146"/>
      <c r="GD45" s="146"/>
      <c r="GE45" s="146"/>
      <c r="GF45" s="146"/>
      <c r="GG45" s="146"/>
      <c r="GH45" s="146"/>
      <c r="GI45" s="146"/>
      <c r="GJ45" s="146"/>
      <c r="GK45" s="146"/>
      <c r="GL45" s="146"/>
      <c r="GM45" s="146"/>
      <c r="GN45" s="146"/>
      <c r="GO45" s="146"/>
      <c r="GP45" s="146"/>
      <c r="GQ45" s="146"/>
      <c r="GR45" s="146"/>
      <c r="GS45" s="146"/>
      <c r="GT45" s="146"/>
      <c r="GU45" s="146"/>
      <c r="GV45" s="146"/>
      <c r="GW45" s="146"/>
      <c r="GX45" s="146"/>
      <c r="GY45" s="146"/>
      <c r="GZ45" s="146"/>
      <c r="HA45" s="146"/>
      <c r="HB45" s="146"/>
      <c r="HC45" s="146"/>
      <c r="HD45" s="146"/>
      <c r="HE45" s="146"/>
      <c r="HF45" s="146"/>
      <c r="HG45" s="146"/>
      <c r="HH45" s="146"/>
      <c r="HI45" s="146"/>
      <c r="HJ45" s="146"/>
      <c r="HK45" s="146"/>
      <c r="HL45" s="146"/>
      <c r="HM45" s="146"/>
      <c r="HN45" s="146"/>
      <c r="HO45" s="146"/>
      <c r="HP45" s="146"/>
      <c r="HQ45" s="146"/>
      <c r="HR45" s="146"/>
      <c r="HS45" s="146"/>
      <c r="HT45" s="146"/>
      <c r="HU45" s="146"/>
      <c r="HV45" s="146"/>
      <c r="HW45" s="146"/>
      <c r="HX45" s="146"/>
      <c r="HY45" s="146"/>
      <c r="HZ45" s="146"/>
      <c r="IA45" s="146"/>
    </row>
    <row r="46" spans="1:235" s="153" customFormat="1" ht="99.75" x14ac:dyDescent="0.25">
      <c r="A46" s="197">
        <v>11400</v>
      </c>
      <c r="B46" s="194" t="s">
        <v>26</v>
      </c>
      <c r="C46" s="198" t="s">
        <v>184</v>
      </c>
      <c r="D46" s="194" t="s">
        <v>256</v>
      </c>
      <c r="E46" s="198" t="s">
        <v>186</v>
      </c>
      <c r="F46" s="194" t="s">
        <v>159</v>
      </c>
      <c r="G46" s="209" t="s">
        <v>123</v>
      </c>
      <c r="H46" s="216">
        <v>1</v>
      </c>
      <c r="I46" s="198" t="s">
        <v>317</v>
      </c>
      <c r="J46" s="194" t="s">
        <v>156</v>
      </c>
      <c r="K46" s="210">
        <v>0</v>
      </c>
      <c r="L46" s="211">
        <v>1</v>
      </c>
      <c r="M46" s="194" t="s">
        <v>51</v>
      </c>
      <c r="N46" s="194" t="s">
        <v>68</v>
      </c>
      <c r="O46" s="194" t="s">
        <v>21</v>
      </c>
      <c r="P46" s="194" t="s">
        <v>36</v>
      </c>
      <c r="Q46" s="194" t="s">
        <v>75</v>
      </c>
      <c r="R46" s="194" t="s">
        <v>672</v>
      </c>
      <c r="S46" s="194" t="s">
        <v>98</v>
      </c>
      <c r="T46" s="211">
        <v>1</v>
      </c>
      <c r="U46" s="212" t="str">
        <f t="shared" si="15"/>
        <v>Formular los proceso y procedimientos en el marco del MIPG</v>
      </c>
      <c r="V46" s="213">
        <f t="shared" si="15"/>
        <v>0</v>
      </c>
      <c r="W46" s="214" t="s">
        <v>117</v>
      </c>
      <c r="X46" s="216">
        <v>0.25</v>
      </c>
      <c r="Y46" s="214" t="s">
        <v>156</v>
      </c>
      <c r="Z46" s="210">
        <v>0</v>
      </c>
      <c r="AA46" s="196"/>
      <c r="AB46" s="196"/>
      <c r="AC46" s="204">
        <f t="shared" si="16"/>
        <v>0</v>
      </c>
      <c r="AD46" s="204" t="e">
        <f t="shared" si="17"/>
        <v>#DIV/0!</v>
      </c>
      <c r="AE46" s="204">
        <f t="shared" si="0"/>
        <v>0</v>
      </c>
      <c r="AF46" s="204" t="e">
        <f t="shared" si="1"/>
        <v>#DIV/0!</v>
      </c>
      <c r="AG46" s="216">
        <v>0.25</v>
      </c>
      <c r="AH46" s="214" t="s">
        <v>156</v>
      </c>
      <c r="AI46" s="210">
        <v>0</v>
      </c>
      <c r="AJ46" s="196"/>
      <c r="AK46" s="196"/>
      <c r="AL46" s="204">
        <f t="shared" si="18"/>
        <v>0</v>
      </c>
      <c r="AM46" s="204" t="e">
        <f t="shared" si="2"/>
        <v>#DIV/0!</v>
      </c>
      <c r="AN46" s="204">
        <f t="shared" si="3"/>
        <v>0</v>
      </c>
      <c r="AO46" s="204" t="e">
        <f t="shared" si="4"/>
        <v>#DIV/0!</v>
      </c>
      <c r="AP46" s="216">
        <v>0.25</v>
      </c>
      <c r="AQ46" s="214" t="s">
        <v>156</v>
      </c>
      <c r="AR46" s="210">
        <v>0</v>
      </c>
      <c r="AS46" s="196"/>
      <c r="AT46" s="196"/>
      <c r="AU46" s="204">
        <f t="shared" si="19"/>
        <v>0</v>
      </c>
      <c r="AV46" s="204" t="e">
        <f t="shared" si="20"/>
        <v>#DIV/0!</v>
      </c>
      <c r="AW46" s="204">
        <f t="shared" si="21"/>
        <v>0</v>
      </c>
      <c r="AX46" s="204" t="e">
        <f t="shared" si="22"/>
        <v>#DIV/0!</v>
      </c>
      <c r="AY46" s="216">
        <v>0.25</v>
      </c>
      <c r="AZ46" s="214" t="s">
        <v>156</v>
      </c>
      <c r="BA46" s="210">
        <v>0</v>
      </c>
      <c r="BB46" s="196"/>
      <c r="BC46" s="196"/>
      <c r="BD46" s="216">
        <f t="shared" si="23"/>
        <v>0</v>
      </c>
      <c r="BE46" s="216" t="e">
        <f t="shared" si="24"/>
        <v>#DIV/0!</v>
      </c>
      <c r="BF46" s="216">
        <f t="shared" si="25"/>
        <v>0</v>
      </c>
      <c r="BG46" s="216" t="e">
        <f t="shared" si="26"/>
        <v>#DIV/0!</v>
      </c>
      <c r="BH46" s="217">
        <f t="shared" si="7"/>
        <v>0</v>
      </c>
      <c r="BI46" s="217" t="str">
        <f t="shared" si="8"/>
        <v>No Prog ni Ejec</v>
      </c>
      <c r="BJ46" s="217">
        <f t="shared" si="9"/>
        <v>0</v>
      </c>
      <c r="BK46" s="217" t="str">
        <f t="shared" si="10"/>
        <v>No Prog ni Ejec</v>
      </c>
      <c r="BL46" s="217">
        <f t="shared" si="27"/>
        <v>0</v>
      </c>
      <c r="BM46" s="217" t="str">
        <f t="shared" si="28"/>
        <v>No Prog ni Ejec</v>
      </c>
      <c r="BN46" s="217">
        <f t="shared" si="11"/>
        <v>0</v>
      </c>
      <c r="BO46" s="217" t="str">
        <f t="shared" si="12"/>
        <v>No Prog ni Ejec</v>
      </c>
      <c r="BP46" s="206"/>
      <c r="BQ46" s="277">
        <v>5</v>
      </c>
      <c r="BR46" s="208">
        <f t="shared" si="14"/>
        <v>0.58333333333333337</v>
      </c>
      <c r="BS46" s="219" t="str">
        <f t="shared" si="29"/>
        <v>Formular los proceso y procedimientos en el marco del MIPG</v>
      </c>
      <c r="BT46" s="195">
        <f t="shared" si="13"/>
        <v>0</v>
      </c>
      <c r="BU46" s="196"/>
      <c r="BV46" s="196"/>
      <c r="BW46" s="196"/>
      <c r="BX46" s="196"/>
      <c r="BY46" s="196"/>
      <c r="BZ46" s="19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row>
    <row r="47" spans="1:235" s="153" customFormat="1" ht="99.75" x14ac:dyDescent="0.25">
      <c r="A47" s="197">
        <v>11400</v>
      </c>
      <c r="B47" s="194" t="s">
        <v>26</v>
      </c>
      <c r="C47" s="198" t="s">
        <v>184</v>
      </c>
      <c r="D47" s="194" t="s">
        <v>256</v>
      </c>
      <c r="E47" s="198" t="s">
        <v>187</v>
      </c>
      <c r="F47" s="194" t="s">
        <v>127</v>
      </c>
      <c r="G47" s="199" t="s">
        <v>123</v>
      </c>
      <c r="H47" s="226">
        <v>1</v>
      </c>
      <c r="I47" s="198" t="s">
        <v>318</v>
      </c>
      <c r="J47" s="194" t="s">
        <v>128</v>
      </c>
      <c r="K47" s="210">
        <v>0</v>
      </c>
      <c r="L47" s="211">
        <v>1</v>
      </c>
      <c r="M47" s="194" t="s">
        <v>51</v>
      </c>
      <c r="N47" s="194" t="s">
        <v>68</v>
      </c>
      <c r="O47" s="194" t="s">
        <v>21</v>
      </c>
      <c r="P47" s="194" t="s">
        <v>36</v>
      </c>
      <c r="Q47" s="194" t="s">
        <v>75</v>
      </c>
      <c r="R47" s="194" t="s">
        <v>570</v>
      </c>
      <c r="S47" s="194" t="s">
        <v>98</v>
      </c>
      <c r="T47" s="211">
        <v>1</v>
      </c>
      <c r="U47" s="212" t="str">
        <f t="shared" si="15"/>
        <v>Remitir informes trimestrales de los indicadores formulados y las acciones de mejoras</v>
      </c>
      <c r="V47" s="213">
        <f t="shared" si="15"/>
        <v>0</v>
      </c>
      <c r="W47" s="214" t="s">
        <v>117</v>
      </c>
      <c r="X47" s="216">
        <v>0</v>
      </c>
      <c r="Y47" s="214" t="s">
        <v>128</v>
      </c>
      <c r="Z47" s="210">
        <v>0</v>
      </c>
      <c r="AA47" s="196"/>
      <c r="AB47" s="196"/>
      <c r="AC47" s="204" t="e">
        <f t="shared" si="16"/>
        <v>#DIV/0!</v>
      </c>
      <c r="AD47" s="204" t="e">
        <f t="shared" si="17"/>
        <v>#DIV/0!</v>
      </c>
      <c r="AE47" s="204">
        <f t="shared" si="0"/>
        <v>0</v>
      </c>
      <c r="AF47" s="204" t="e">
        <f t="shared" si="1"/>
        <v>#DIV/0!</v>
      </c>
      <c r="AG47" s="216">
        <v>0</v>
      </c>
      <c r="AH47" s="214" t="s">
        <v>128</v>
      </c>
      <c r="AI47" s="210">
        <v>0</v>
      </c>
      <c r="AJ47" s="196"/>
      <c r="AK47" s="196"/>
      <c r="AL47" s="204" t="e">
        <f t="shared" si="18"/>
        <v>#DIV/0!</v>
      </c>
      <c r="AM47" s="204" t="e">
        <f t="shared" si="2"/>
        <v>#DIV/0!</v>
      </c>
      <c r="AN47" s="204">
        <f t="shared" si="3"/>
        <v>0</v>
      </c>
      <c r="AO47" s="204" t="e">
        <f t="shared" si="4"/>
        <v>#DIV/0!</v>
      </c>
      <c r="AP47" s="216">
        <v>0</v>
      </c>
      <c r="AQ47" s="214" t="s">
        <v>128</v>
      </c>
      <c r="AR47" s="210">
        <v>0</v>
      </c>
      <c r="AS47" s="196"/>
      <c r="AT47" s="196"/>
      <c r="AU47" s="204" t="e">
        <f t="shared" si="19"/>
        <v>#DIV/0!</v>
      </c>
      <c r="AV47" s="204" t="e">
        <f t="shared" si="20"/>
        <v>#DIV/0!</v>
      </c>
      <c r="AW47" s="204">
        <f t="shared" si="21"/>
        <v>0</v>
      </c>
      <c r="AX47" s="204" t="e">
        <f t="shared" si="22"/>
        <v>#DIV/0!</v>
      </c>
      <c r="AY47" s="216">
        <v>1</v>
      </c>
      <c r="AZ47" s="214" t="s">
        <v>128</v>
      </c>
      <c r="BA47" s="210">
        <v>0</v>
      </c>
      <c r="BB47" s="196"/>
      <c r="BC47" s="196"/>
      <c r="BD47" s="216">
        <f t="shared" si="23"/>
        <v>0</v>
      </c>
      <c r="BE47" s="216" t="e">
        <f t="shared" si="24"/>
        <v>#DIV/0!</v>
      </c>
      <c r="BF47" s="216">
        <f t="shared" si="25"/>
        <v>0</v>
      </c>
      <c r="BG47" s="216" t="e">
        <f t="shared" si="26"/>
        <v>#DIV/0!</v>
      </c>
      <c r="BH47" s="217" t="str">
        <f t="shared" si="7"/>
        <v>No Prog ni Ejec</v>
      </c>
      <c r="BI47" s="217" t="str">
        <f t="shared" si="8"/>
        <v>No Prog ni Ejec</v>
      </c>
      <c r="BJ47" s="217" t="str">
        <f t="shared" si="9"/>
        <v>No Prog ni Ejec</v>
      </c>
      <c r="BK47" s="217" t="str">
        <f t="shared" si="10"/>
        <v>No Prog ni Ejec</v>
      </c>
      <c r="BL47" s="217" t="str">
        <f t="shared" si="27"/>
        <v>No Prog ni Ejec</v>
      </c>
      <c r="BM47" s="217" t="str">
        <f t="shared" si="28"/>
        <v>No Prog ni Ejec</v>
      </c>
      <c r="BN47" s="217">
        <f t="shared" si="11"/>
        <v>0</v>
      </c>
      <c r="BO47" s="217" t="str">
        <f t="shared" si="12"/>
        <v>No Prog ni Ejec</v>
      </c>
      <c r="BP47" s="206"/>
      <c r="BQ47" s="277">
        <v>5</v>
      </c>
      <c r="BR47" s="208">
        <f t="shared" si="14"/>
        <v>0</v>
      </c>
      <c r="BS47" s="219" t="str">
        <f t="shared" si="29"/>
        <v>Remitir informes trimestrales de los indicadores formulados y las acciones de mejoras</v>
      </c>
      <c r="BT47" s="195">
        <f t="shared" si="13"/>
        <v>0</v>
      </c>
      <c r="BU47" s="196"/>
      <c r="BV47" s="196"/>
      <c r="BW47" s="196"/>
      <c r="BX47" s="196"/>
      <c r="BY47" s="196"/>
      <c r="BZ47" s="19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c r="DN47" s="146"/>
      <c r="DO47" s="146"/>
      <c r="DP47" s="146"/>
      <c r="DQ47" s="146"/>
      <c r="DR47" s="146"/>
      <c r="DS47" s="146"/>
      <c r="DT47" s="146"/>
      <c r="DU47" s="146"/>
      <c r="DV47" s="146"/>
      <c r="DW47" s="146"/>
      <c r="DX47" s="146"/>
      <c r="DY47" s="146"/>
      <c r="DZ47" s="146"/>
      <c r="EA47" s="146"/>
      <c r="EB47" s="146"/>
      <c r="EC47" s="146"/>
      <c r="ED47" s="146"/>
      <c r="EE47" s="146"/>
      <c r="EF47" s="146"/>
      <c r="EG47" s="146"/>
      <c r="EH47" s="146"/>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6"/>
      <c r="GB47" s="146"/>
      <c r="GC47" s="146"/>
      <c r="GD47" s="146"/>
      <c r="GE47" s="146"/>
      <c r="GF47" s="146"/>
      <c r="GG47" s="146"/>
      <c r="GH47" s="146"/>
      <c r="GI47" s="146"/>
      <c r="GJ47" s="146"/>
      <c r="GK47" s="146"/>
      <c r="GL47" s="146"/>
      <c r="GM47" s="146"/>
      <c r="GN47" s="146"/>
      <c r="GO47" s="146"/>
      <c r="GP47" s="146"/>
      <c r="GQ47" s="146"/>
      <c r="GR47" s="146"/>
      <c r="GS47" s="146"/>
      <c r="GT47" s="146"/>
      <c r="GU47" s="146"/>
      <c r="GV47" s="146"/>
      <c r="GW47" s="146"/>
      <c r="GX47" s="146"/>
      <c r="GY47" s="146"/>
      <c r="GZ47" s="146"/>
      <c r="HA47" s="146"/>
      <c r="HB47" s="146"/>
      <c r="HC47" s="146"/>
      <c r="HD47" s="146"/>
      <c r="HE47" s="146"/>
      <c r="HF47" s="146"/>
      <c r="HG47" s="146"/>
      <c r="HH47" s="146"/>
      <c r="HI47" s="146"/>
      <c r="HJ47" s="146"/>
      <c r="HK47" s="146"/>
      <c r="HL47" s="146"/>
      <c r="HM47" s="146"/>
      <c r="HN47" s="146"/>
      <c r="HO47" s="146"/>
      <c r="HP47" s="146"/>
      <c r="HQ47" s="146"/>
      <c r="HR47" s="146"/>
      <c r="HS47" s="146"/>
      <c r="HT47" s="146"/>
      <c r="HU47" s="146"/>
      <c r="HV47" s="146"/>
      <c r="HW47" s="146"/>
      <c r="HX47" s="146"/>
      <c r="HY47" s="146"/>
      <c r="HZ47" s="146"/>
      <c r="IA47" s="146"/>
    </row>
    <row r="48" spans="1:235" s="159" customFormat="1" ht="71.25" x14ac:dyDescent="0.25">
      <c r="A48" s="197">
        <v>11400</v>
      </c>
      <c r="B48" s="194" t="s">
        <v>26</v>
      </c>
      <c r="C48" s="198" t="s">
        <v>188</v>
      </c>
      <c r="D48" s="194" t="s">
        <v>144</v>
      </c>
      <c r="E48" s="198" t="s">
        <v>192</v>
      </c>
      <c r="F48" s="194" t="s">
        <v>189</v>
      </c>
      <c r="G48" s="209" t="s">
        <v>124</v>
      </c>
      <c r="H48" s="227">
        <v>48</v>
      </c>
      <c r="I48" s="198" t="s">
        <v>237</v>
      </c>
      <c r="J48" s="194" t="s">
        <v>190</v>
      </c>
      <c r="K48" s="210">
        <v>100516376</v>
      </c>
      <c r="L48" s="211">
        <v>1</v>
      </c>
      <c r="M48" s="194" t="s">
        <v>46</v>
      </c>
      <c r="N48" s="194" t="s">
        <v>68</v>
      </c>
      <c r="O48" s="194" t="s">
        <v>21</v>
      </c>
      <c r="P48" s="194" t="s">
        <v>36</v>
      </c>
      <c r="Q48" s="194" t="s">
        <v>216</v>
      </c>
      <c r="R48" s="194" t="s">
        <v>209</v>
      </c>
      <c r="S48" s="194" t="s">
        <v>99</v>
      </c>
      <c r="T48" s="215">
        <v>48</v>
      </c>
      <c r="U48" s="212" t="str">
        <f t="shared" si="15"/>
        <v>No. de Procesos de Compensación Ejecutados</v>
      </c>
      <c r="V48" s="213">
        <f t="shared" si="15"/>
        <v>100516376</v>
      </c>
      <c r="W48" s="222" t="s">
        <v>114</v>
      </c>
      <c r="X48" s="284">
        <v>12</v>
      </c>
      <c r="Y48" s="282" t="s">
        <v>190</v>
      </c>
      <c r="Z48" s="283">
        <v>43249020</v>
      </c>
      <c r="AA48" s="279"/>
      <c r="AB48" s="279"/>
      <c r="AC48" s="280">
        <f t="shared" si="16"/>
        <v>0</v>
      </c>
      <c r="AD48" s="280">
        <f t="shared" si="17"/>
        <v>0</v>
      </c>
      <c r="AE48" s="280">
        <f t="shared" si="0"/>
        <v>0</v>
      </c>
      <c r="AF48" s="280">
        <f t="shared" si="1"/>
        <v>0</v>
      </c>
      <c r="AG48" s="284">
        <v>12</v>
      </c>
      <c r="AH48" s="282" t="s">
        <v>190</v>
      </c>
      <c r="AI48" s="283">
        <v>12240000</v>
      </c>
      <c r="AJ48" s="279"/>
      <c r="AK48" s="279"/>
      <c r="AL48" s="280">
        <f t="shared" si="18"/>
        <v>0</v>
      </c>
      <c r="AM48" s="280">
        <f t="shared" si="2"/>
        <v>0</v>
      </c>
      <c r="AN48" s="280">
        <f t="shared" si="3"/>
        <v>0</v>
      </c>
      <c r="AO48" s="280">
        <f t="shared" si="4"/>
        <v>0</v>
      </c>
      <c r="AP48" s="284">
        <v>12</v>
      </c>
      <c r="AQ48" s="282" t="s">
        <v>190</v>
      </c>
      <c r="AR48" s="283">
        <v>17376839</v>
      </c>
      <c r="AS48" s="279"/>
      <c r="AT48" s="279"/>
      <c r="AU48" s="280">
        <f t="shared" si="19"/>
        <v>0</v>
      </c>
      <c r="AV48" s="280">
        <f t="shared" si="20"/>
        <v>0</v>
      </c>
      <c r="AW48" s="280">
        <f t="shared" si="21"/>
        <v>0</v>
      </c>
      <c r="AX48" s="280">
        <f t="shared" si="22"/>
        <v>0</v>
      </c>
      <c r="AY48" s="284">
        <v>12</v>
      </c>
      <c r="AZ48" s="282" t="s">
        <v>190</v>
      </c>
      <c r="BA48" s="283">
        <v>27650517</v>
      </c>
      <c r="BB48" s="279"/>
      <c r="BC48" s="279"/>
      <c r="BD48" s="281">
        <f t="shared" si="23"/>
        <v>0</v>
      </c>
      <c r="BE48" s="281">
        <f t="shared" si="24"/>
        <v>0</v>
      </c>
      <c r="BF48" s="281">
        <f t="shared" si="25"/>
        <v>0</v>
      </c>
      <c r="BG48" s="281">
        <f t="shared" si="26"/>
        <v>0</v>
      </c>
      <c r="BH48" s="205">
        <f t="shared" si="7"/>
        <v>0</v>
      </c>
      <c r="BI48" s="205">
        <f t="shared" si="8"/>
        <v>0</v>
      </c>
      <c r="BJ48" s="205">
        <f t="shared" si="9"/>
        <v>0</v>
      </c>
      <c r="BK48" s="205">
        <f t="shared" si="10"/>
        <v>0</v>
      </c>
      <c r="BL48" s="205">
        <f t="shared" si="27"/>
        <v>0</v>
      </c>
      <c r="BM48" s="205">
        <f t="shared" si="28"/>
        <v>0</v>
      </c>
      <c r="BN48" s="205">
        <f t="shared" si="11"/>
        <v>0</v>
      </c>
      <c r="BO48" s="205">
        <f t="shared" si="12"/>
        <v>0</v>
      </c>
      <c r="BP48" s="206"/>
      <c r="BQ48" s="277">
        <v>1</v>
      </c>
      <c r="BR48" s="218">
        <f t="shared" si="14"/>
        <v>28</v>
      </c>
      <c r="BS48" s="219" t="str">
        <f t="shared" si="29"/>
        <v>No. de Procesos de Compensación Ejecutados</v>
      </c>
      <c r="BT48" s="195">
        <f t="shared" si="13"/>
        <v>61281299.666666664</v>
      </c>
      <c r="BU48" s="196"/>
      <c r="BV48" s="196"/>
      <c r="BW48" s="196"/>
      <c r="BX48" s="196"/>
      <c r="BY48" s="196"/>
      <c r="BZ48" s="19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6"/>
      <c r="ED48" s="146"/>
      <c r="EE48" s="146"/>
      <c r="EF48" s="146"/>
      <c r="EG48" s="146"/>
      <c r="EH48" s="146"/>
      <c r="EI48" s="146"/>
      <c r="EJ48" s="146"/>
      <c r="EK48" s="146"/>
      <c r="EL48" s="146"/>
      <c r="EM48" s="146"/>
      <c r="EN48" s="146"/>
      <c r="EO48" s="146"/>
      <c r="EP48" s="146"/>
      <c r="EQ48" s="146"/>
      <c r="ER48" s="146"/>
      <c r="ES48" s="146"/>
      <c r="ET48" s="146"/>
      <c r="EU48" s="146"/>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6"/>
      <c r="GB48" s="146"/>
      <c r="GC48" s="146"/>
      <c r="GD48" s="146"/>
      <c r="GE48" s="146"/>
      <c r="GF48" s="146"/>
      <c r="GG48" s="146"/>
      <c r="GH48" s="146"/>
      <c r="GI48" s="146"/>
      <c r="GJ48" s="146"/>
      <c r="GK48" s="146"/>
      <c r="GL48" s="146"/>
      <c r="GM48" s="146"/>
      <c r="GN48" s="146"/>
      <c r="GO48" s="146"/>
      <c r="GP48" s="146"/>
      <c r="GQ48" s="146"/>
      <c r="GR48" s="146"/>
      <c r="GS48" s="146"/>
      <c r="GT48" s="146"/>
      <c r="GU48" s="146"/>
      <c r="GV48" s="146"/>
      <c r="GW48" s="146"/>
      <c r="GX48" s="146"/>
      <c r="GY48" s="146"/>
      <c r="GZ48" s="146"/>
      <c r="HA48" s="146"/>
      <c r="HB48" s="146"/>
      <c r="HC48" s="146"/>
      <c r="HD48" s="146"/>
      <c r="HE48" s="146"/>
      <c r="HF48" s="146"/>
      <c r="HG48" s="146"/>
      <c r="HH48" s="146"/>
      <c r="HI48" s="146"/>
      <c r="HJ48" s="146"/>
      <c r="HK48" s="146"/>
      <c r="HL48" s="146"/>
      <c r="HM48" s="146"/>
      <c r="HN48" s="146"/>
      <c r="HO48" s="146"/>
      <c r="HP48" s="146"/>
      <c r="HQ48" s="146"/>
      <c r="HR48" s="146"/>
      <c r="HS48" s="146"/>
      <c r="HT48" s="146"/>
      <c r="HU48" s="146"/>
      <c r="HV48" s="146"/>
      <c r="HW48" s="146"/>
      <c r="HX48" s="146"/>
      <c r="HY48" s="146"/>
      <c r="HZ48" s="146"/>
      <c r="IA48" s="146"/>
    </row>
    <row r="49" spans="1:235" s="159" customFormat="1" ht="71.25" x14ac:dyDescent="0.25">
      <c r="A49" s="197">
        <v>11400</v>
      </c>
      <c r="B49" s="194" t="s">
        <v>26</v>
      </c>
      <c r="C49" s="198" t="s">
        <v>188</v>
      </c>
      <c r="D49" s="194" t="s">
        <v>144</v>
      </c>
      <c r="E49" s="198" t="s">
        <v>479</v>
      </c>
      <c r="F49" s="194" t="s">
        <v>191</v>
      </c>
      <c r="G49" s="209" t="s">
        <v>124</v>
      </c>
      <c r="H49" s="198">
        <v>12</v>
      </c>
      <c r="I49" s="198" t="s">
        <v>480</v>
      </c>
      <c r="J49" s="194" t="s">
        <v>597</v>
      </c>
      <c r="K49" s="210">
        <v>0</v>
      </c>
      <c r="L49" s="211">
        <v>1</v>
      </c>
      <c r="M49" s="194" t="s">
        <v>46</v>
      </c>
      <c r="N49" s="194" t="s">
        <v>68</v>
      </c>
      <c r="O49" s="194" t="s">
        <v>21</v>
      </c>
      <c r="P49" s="194" t="s">
        <v>36</v>
      </c>
      <c r="Q49" s="194" t="s">
        <v>223</v>
      </c>
      <c r="R49" s="194" t="s">
        <v>231</v>
      </c>
      <c r="S49" s="194" t="s">
        <v>99</v>
      </c>
      <c r="T49" s="215">
        <v>12</v>
      </c>
      <c r="U49" s="212" t="str">
        <f t="shared" si="15"/>
        <v>No. de Procesos de LMA Ejecutados</v>
      </c>
      <c r="V49" s="213">
        <f t="shared" si="15"/>
        <v>0</v>
      </c>
      <c r="W49" s="214" t="s">
        <v>117</v>
      </c>
      <c r="X49" s="284">
        <v>3</v>
      </c>
      <c r="Y49" s="282" t="s">
        <v>597</v>
      </c>
      <c r="Z49" s="283">
        <v>0</v>
      </c>
      <c r="AA49" s="279"/>
      <c r="AB49" s="279"/>
      <c r="AC49" s="280">
        <f t="shared" si="16"/>
        <v>0</v>
      </c>
      <c r="AD49" s="280" t="e">
        <f t="shared" si="17"/>
        <v>#DIV/0!</v>
      </c>
      <c r="AE49" s="280">
        <f t="shared" si="0"/>
        <v>0</v>
      </c>
      <c r="AF49" s="280" t="e">
        <f t="shared" si="1"/>
        <v>#DIV/0!</v>
      </c>
      <c r="AG49" s="284">
        <v>3</v>
      </c>
      <c r="AH49" s="282" t="s">
        <v>597</v>
      </c>
      <c r="AI49" s="283">
        <v>0</v>
      </c>
      <c r="AJ49" s="279"/>
      <c r="AK49" s="279"/>
      <c r="AL49" s="280">
        <f t="shared" si="18"/>
        <v>0</v>
      </c>
      <c r="AM49" s="280" t="e">
        <f t="shared" si="2"/>
        <v>#DIV/0!</v>
      </c>
      <c r="AN49" s="280">
        <f t="shared" si="3"/>
        <v>0</v>
      </c>
      <c r="AO49" s="280" t="e">
        <f t="shared" si="4"/>
        <v>#DIV/0!</v>
      </c>
      <c r="AP49" s="284">
        <v>3</v>
      </c>
      <c r="AQ49" s="282" t="s">
        <v>597</v>
      </c>
      <c r="AR49" s="283">
        <v>0</v>
      </c>
      <c r="AS49" s="279"/>
      <c r="AT49" s="279"/>
      <c r="AU49" s="280">
        <f t="shared" si="19"/>
        <v>0</v>
      </c>
      <c r="AV49" s="280" t="e">
        <f t="shared" si="20"/>
        <v>#DIV/0!</v>
      </c>
      <c r="AW49" s="280">
        <f t="shared" si="21"/>
        <v>0</v>
      </c>
      <c r="AX49" s="280" t="e">
        <f t="shared" si="22"/>
        <v>#DIV/0!</v>
      </c>
      <c r="AY49" s="284">
        <v>3</v>
      </c>
      <c r="AZ49" s="282" t="s">
        <v>597</v>
      </c>
      <c r="BA49" s="283">
        <v>0</v>
      </c>
      <c r="BB49" s="279"/>
      <c r="BC49" s="279"/>
      <c r="BD49" s="281">
        <f t="shared" si="23"/>
        <v>0</v>
      </c>
      <c r="BE49" s="281" t="e">
        <f t="shared" si="24"/>
        <v>#DIV/0!</v>
      </c>
      <c r="BF49" s="281">
        <f t="shared" si="25"/>
        <v>0</v>
      </c>
      <c r="BG49" s="281" t="e">
        <f t="shared" si="26"/>
        <v>#DIV/0!</v>
      </c>
      <c r="BH49" s="205">
        <f t="shared" si="7"/>
        <v>0</v>
      </c>
      <c r="BI49" s="205" t="str">
        <f t="shared" si="8"/>
        <v>No Prog ni Ejec</v>
      </c>
      <c r="BJ49" s="205">
        <f t="shared" si="9"/>
        <v>0</v>
      </c>
      <c r="BK49" s="205" t="str">
        <f t="shared" si="10"/>
        <v>No Prog ni Ejec</v>
      </c>
      <c r="BL49" s="205">
        <f t="shared" si="27"/>
        <v>0</v>
      </c>
      <c r="BM49" s="205" t="str">
        <f t="shared" si="28"/>
        <v>No Prog ni Ejec</v>
      </c>
      <c r="BN49" s="205">
        <f t="shared" si="11"/>
        <v>0</v>
      </c>
      <c r="BO49" s="205" t="str">
        <f t="shared" si="12"/>
        <v>No Prog ni Ejec</v>
      </c>
      <c r="BP49" s="206"/>
      <c r="BQ49" s="277">
        <v>1</v>
      </c>
      <c r="BR49" s="218">
        <f t="shared" si="14"/>
        <v>7</v>
      </c>
      <c r="BS49" s="219" t="str">
        <f t="shared" si="29"/>
        <v>No. de Procesos de LMA Ejecutados</v>
      </c>
      <c r="BT49" s="195">
        <f t="shared" si="13"/>
        <v>0</v>
      </c>
      <c r="BU49" s="196"/>
      <c r="BV49" s="196"/>
      <c r="BW49" s="196"/>
      <c r="BX49" s="196"/>
      <c r="BY49" s="196"/>
      <c r="BZ49" s="19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6"/>
      <c r="EC49" s="146"/>
      <c r="ED49" s="146"/>
      <c r="EE49" s="146"/>
      <c r="EF49" s="146"/>
      <c r="EG49" s="146"/>
      <c r="EH49" s="146"/>
      <c r="EI49" s="146"/>
      <c r="EJ49" s="146"/>
      <c r="EK49" s="146"/>
      <c r="EL49" s="146"/>
      <c r="EM49" s="146"/>
      <c r="EN49" s="146"/>
      <c r="EO49" s="146"/>
      <c r="EP49" s="146"/>
      <c r="EQ49" s="146"/>
      <c r="ER49" s="146"/>
      <c r="ES49" s="146"/>
      <c r="ET49" s="146"/>
      <c r="EU49" s="146"/>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6"/>
      <c r="GB49" s="146"/>
      <c r="GC49" s="146"/>
      <c r="GD49" s="146"/>
      <c r="GE49" s="146"/>
      <c r="GF49" s="146"/>
      <c r="GG49" s="146"/>
      <c r="GH49" s="146"/>
      <c r="GI49" s="146"/>
      <c r="GJ49" s="146"/>
      <c r="GK49" s="146"/>
      <c r="GL49" s="146"/>
      <c r="GM49" s="146"/>
      <c r="GN49" s="146"/>
      <c r="GO49" s="146"/>
      <c r="GP49" s="146"/>
      <c r="GQ49" s="146"/>
      <c r="GR49" s="146"/>
      <c r="GS49" s="146"/>
      <c r="GT49" s="146"/>
      <c r="GU49" s="146"/>
      <c r="GV49" s="146"/>
      <c r="GW49" s="146"/>
      <c r="GX49" s="146"/>
      <c r="GY49" s="146"/>
      <c r="GZ49" s="146"/>
      <c r="HA49" s="146"/>
      <c r="HB49" s="146"/>
      <c r="HC49" s="146"/>
      <c r="HD49" s="146"/>
      <c r="HE49" s="146"/>
      <c r="HF49" s="146"/>
      <c r="HG49" s="146"/>
      <c r="HH49" s="146"/>
      <c r="HI49" s="146"/>
      <c r="HJ49" s="146"/>
      <c r="HK49" s="146"/>
      <c r="HL49" s="146"/>
      <c r="HM49" s="146"/>
      <c r="HN49" s="146"/>
      <c r="HO49" s="146"/>
      <c r="HP49" s="146"/>
      <c r="HQ49" s="146"/>
      <c r="HR49" s="146"/>
      <c r="HS49" s="146"/>
      <c r="HT49" s="146"/>
      <c r="HU49" s="146"/>
      <c r="HV49" s="146"/>
      <c r="HW49" s="146"/>
      <c r="HX49" s="146"/>
      <c r="HY49" s="146"/>
      <c r="HZ49" s="146"/>
      <c r="IA49" s="146"/>
    </row>
    <row r="50" spans="1:235" s="159" customFormat="1" ht="71.25" x14ac:dyDescent="0.25">
      <c r="A50" s="197">
        <v>11400</v>
      </c>
      <c r="B50" s="194" t="s">
        <v>26</v>
      </c>
      <c r="C50" s="198" t="s">
        <v>188</v>
      </c>
      <c r="D50" s="194" t="s">
        <v>144</v>
      </c>
      <c r="E50" s="198" t="s">
        <v>481</v>
      </c>
      <c r="F50" s="194" t="s">
        <v>233</v>
      </c>
      <c r="G50" s="209" t="s">
        <v>124</v>
      </c>
      <c r="H50" s="227">
        <v>48</v>
      </c>
      <c r="I50" s="198" t="s">
        <v>482</v>
      </c>
      <c r="J50" s="194" t="s">
        <v>193</v>
      </c>
      <c r="K50" s="210">
        <v>0</v>
      </c>
      <c r="L50" s="211">
        <v>1</v>
      </c>
      <c r="M50" s="194" t="s">
        <v>46</v>
      </c>
      <c r="N50" s="194" t="s">
        <v>68</v>
      </c>
      <c r="O50" s="194" t="s">
        <v>21</v>
      </c>
      <c r="P50" s="194" t="s">
        <v>36</v>
      </c>
      <c r="Q50" s="194" t="s">
        <v>216</v>
      </c>
      <c r="R50" s="194" t="s">
        <v>232</v>
      </c>
      <c r="S50" s="194" t="s">
        <v>99</v>
      </c>
      <c r="T50" s="215">
        <v>48</v>
      </c>
      <c r="U50" s="212" t="str">
        <f t="shared" si="15"/>
        <v>Publicación Giro Directo Régimen Contributivo</v>
      </c>
      <c r="V50" s="213">
        <f t="shared" si="15"/>
        <v>0</v>
      </c>
      <c r="W50" s="214" t="s">
        <v>117</v>
      </c>
      <c r="X50" s="284">
        <v>12</v>
      </c>
      <c r="Y50" s="282" t="s">
        <v>193</v>
      </c>
      <c r="Z50" s="283">
        <v>0</v>
      </c>
      <c r="AA50" s="279"/>
      <c r="AB50" s="279"/>
      <c r="AC50" s="280">
        <f t="shared" si="16"/>
        <v>0</v>
      </c>
      <c r="AD50" s="280" t="e">
        <f t="shared" si="17"/>
        <v>#DIV/0!</v>
      </c>
      <c r="AE50" s="280">
        <f t="shared" si="0"/>
        <v>0</v>
      </c>
      <c r="AF50" s="280" t="e">
        <f t="shared" si="1"/>
        <v>#DIV/0!</v>
      </c>
      <c r="AG50" s="284">
        <v>12</v>
      </c>
      <c r="AH50" s="282" t="s">
        <v>193</v>
      </c>
      <c r="AI50" s="283">
        <v>0</v>
      </c>
      <c r="AJ50" s="279"/>
      <c r="AK50" s="279"/>
      <c r="AL50" s="280">
        <f t="shared" si="18"/>
        <v>0</v>
      </c>
      <c r="AM50" s="280" t="e">
        <f t="shared" si="2"/>
        <v>#DIV/0!</v>
      </c>
      <c r="AN50" s="280">
        <f t="shared" si="3"/>
        <v>0</v>
      </c>
      <c r="AO50" s="280" t="e">
        <f t="shared" si="4"/>
        <v>#DIV/0!</v>
      </c>
      <c r="AP50" s="284">
        <v>12</v>
      </c>
      <c r="AQ50" s="282" t="s">
        <v>193</v>
      </c>
      <c r="AR50" s="283">
        <v>0</v>
      </c>
      <c r="AS50" s="279"/>
      <c r="AT50" s="279"/>
      <c r="AU50" s="280">
        <f t="shared" si="19"/>
        <v>0</v>
      </c>
      <c r="AV50" s="280" t="e">
        <f t="shared" si="20"/>
        <v>#DIV/0!</v>
      </c>
      <c r="AW50" s="280">
        <f t="shared" si="21"/>
        <v>0</v>
      </c>
      <c r="AX50" s="280" t="e">
        <f t="shared" si="22"/>
        <v>#DIV/0!</v>
      </c>
      <c r="AY50" s="284">
        <v>12</v>
      </c>
      <c r="AZ50" s="282" t="s">
        <v>193</v>
      </c>
      <c r="BA50" s="283">
        <v>0</v>
      </c>
      <c r="BB50" s="279"/>
      <c r="BC50" s="279"/>
      <c r="BD50" s="281">
        <f t="shared" si="23"/>
        <v>0</v>
      </c>
      <c r="BE50" s="281" t="e">
        <f t="shared" si="24"/>
        <v>#DIV/0!</v>
      </c>
      <c r="BF50" s="281">
        <f t="shared" si="25"/>
        <v>0</v>
      </c>
      <c r="BG50" s="281" t="e">
        <f t="shared" si="26"/>
        <v>#DIV/0!</v>
      </c>
      <c r="BH50" s="205">
        <f t="shared" si="7"/>
        <v>0</v>
      </c>
      <c r="BI50" s="205" t="str">
        <f t="shared" si="8"/>
        <v>No Prog ni Ejec</v>
      </c>
      <c r="BJ50" s="205">
        <f t="shared" si="9"/>
        <v>0</v>
      </c>
      <c r="BK50" s="205" t="str">
        <f t="shared" si="10"/>
        <v>No Prog ni Ejec</v>
      </c>
      <c r="BL50" s="205">
        <f t="shared" si="27"/>
        <v>0</v>
      </c>
      <c r="BM50" s="205" t="str">
        <f t="shared" si="28"/>
        <v>No Prog ni Ejec</v>
      </c>
      <c r="BN50" s="205">
        <f t="shared" si="11"/>
        <v>0</v>
      </c>
      <c r="BO50" s="205" t="str">
        <f t="shared" si="12"/>
        <v>No Prog ni Ejec</v>
      </c>
      <c r="BP50" s="206"/>
      <c r="BQ50" s="277">
        <v>1</v>
      </c>
      <c r="BR50" s="218">
        <f t="shared" si="14"/>
        <v>28</v>
      </c>
      <c r="BS50" s="219" t="str">
        <f t="shared" si="29"/>
        <v>Publicación Giro Directo Régimen Contributivo</v>
      </c>
      <c r="BT50" s="195">
        <f t="shared" si="13"/>
        <v>0</v>
      </c>
      <c r="BU50" s="196"/>
      <c r="BV50" s="196"/>
      <c r="BW50" s="196"/>
      <c r="BX50" s="196"/>
      <c r="BY50" s="196"/>
      <c r="BZ50" s="19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6"/>
      <c r="GD50" s="146"/>
      <c r="GE50" s="146"/>
      <c r="GF50" s="146"/>
      <c r="GG50" s="146"/>
      <c r="GH50" s="146"/>
      <c r="GI50" s="146"/>
      <c r="GJ50" s="146"/>
      <c r="GK50" s="146"/>
      <c r="GL50" s="146"/>
      <c r="GM50" s="146"/>
      <c r="GN50" s="146"/>
      <c r="GO50" s="146"/>
      <c r="GP50" s="146"/>
      <c r="GQ50" s="146"/>
      <c r="GR50" s="146"/>
      <c r="GS50" s="146"/>
      <c r="GT50" s="146"/>
      <c r="GU50" s="146"/>
      <c r="GV50" s="146"/>
      <c r="GW50" s="146"/>
      <c r="GX50" s="146"/>
      <c r="GY50" s="146"/>
      <c r="GZ50" s="146"/>
      <c r="HA50" s="146"/>
      <c r="HB50" s="146"/>
      <c r="HC50" s="146"/>
      <c r="HD50" s="146"/>
      <c r="HE50" s="146"/>
      <c r="HF50" s="146"/>
      <c r="HG50" s="146"/>
      <c r="HH50" s="146"/>
      <c r="HI50" s="146"/>
      <c r="HJ50" s="146"/>
      <c r="HK50" s="146"/>
      <c r="HL50" s="146"/>
      <c r="HM50" s="146"/>
      <c r="HN50" s="146"/>
      <c r="HO50" s="146"/>
      <c r="HP50" s="146"/>
      <c r="HQ50" s="146"/>
      <c r="HR50" s="146"/>
      <c r="HS50" s="146"/>
      <c r="HT50" s="146"/>
      <c r="HU50" s="146"/>
      <c r="HV50" s="146"/>
      <c r="HW50" s="146"/>
      <c r="HX50" s="146"/>
      <c r="HY50" s="146"/>
      <c r="HZ50" s="146"/>
      <c r="IA50" s="146"/>
    </row>
    <row r="51" spans="1:235" s="159" customFormat="1" ht="71.25" x14ac:dyDescent="0.25">
      <c r="A51" s="197">
        <v>11400</v>
      </c>
      <c r="B51" s="194" t="s">
        <v>26</v>
      </c>
      <c r="C51" s="198" t="s">
        <v>188</v>
      </c>
      <c r="D51" s="194" t="s">
        <v>144</v>
      </c>
      <c r="E51" s="198" t="s">
        <v>481</v>
      </c>
      <c r="F51" s="194" t="s">
        <v>234</v>
      </c>
      <c r="G51" s="209" t="s">
        <v>124</v>
      </c>
      <c r="H51" s="198">
        <v>12</v>
      </c>
      <c r="I51" s="198" t="s">
        <v>483</v>
      </c>
      <c r="J51" s="194" t="s">
        <v>194</v>
      </c>
      <c r="K51" s="210">
        <v>0</v>
      </c>
      <c r="L51" s="211">
        <v>1</v>
      </c>
      <c r="M51" s="194" t="s">
        <v>46</v>
      </c>
      <c r="N51" s="194" t="s">
        <v>68</v>
      </c>
      <c r="O51" s="194" t="s">
        <v>21</v>
      </c>
      <c r="P51" s="194" t="s">
        <v>36</v>
      </c>
      <c r="Q51" s="194" t="s">
        <v>223</v>
      </c>
      <c r="R51" s="194" t="s">
        <v>232</v>
      </c>
      <c r="S51" s="194" t="s">
        <v>99</v>
      </c>
      <c r="T51" s="215">
        <v>12</v>
      </c>
      <c r="U51" s="212" t="str">
        <f t="shared" si="15"/>
        <v>Publicación Giro Directo Régimen Subsidiado</v>
      </c>
      <c r="V51" s="213">
        <f t="shared" si="15"/>
        <v>0</v>
      </c>
      <c r="W51" s="214" t="s">
        <v>117</v>
      </c>
      <c r="X51" s="284">
        <v>3</v>
      </c>
      <c r="Y51" s="282" t="s">
        <v>194</v>
      </c>
      <c r="Z51" s="283">
        <v>0</v>
      </c>
      <c r="AA51" s="279"/>
      <c r="AB51" s="279"/>
      <c r="AC51" s="280">
        <f t="shared" si="16"/>
        <v>0</v>
      </c>
      <c r="AD51" s="280" t="e">
        <f t="shared" si="17"/>
        <v>#DIV/0!</v>
      </c>
      <c r="AE51" s="280">
        <f t="shared" si="0"/>
        <v>0</v>
      </c>
      <c r="AF51" s="280" t="e">
        <f t="shared" si="1"/>
        <v>#DIV/0!</v>
      </c>
      <c r="AG51" s="284">
        <v>3</v>
      </c>
      <c r="AH51" s="282" t="s">
        <v>194</v>
      </c>
      <c r="AI51" s="283">
        <v>0</v>
      </c>
      <c r="AJ51" s="279"/>
      <c r="AK51" s="279"/>
      <c r="AL51" s="280">
        <f t="shared" si="18"/>
        <v>0</v>
      </c>
      <c r="AM51" s="280" t="e">
        <f t="shared" si="2"/>
        <v>#DIV/0!</v>
      </c>
      <c r="AN51" s="280">
        <f t="shared" si="3"/>
        <v>0</v>
      </c>
      <c r="AO51" s="280" t="e">
        <f t="shared" si="4"/>
        <v>#DIV/0!</v>
      </c>
      <c r="AP51" s="284">
        <v>3</v>
      </c>
      <c r="AQ51" s="282" t="s">
        <v>194</v>
      </c>
      <c r="AR51" s="283">
        <v>0</v>
      </c>
      <c r="AS51" s="279"/>
      <c r="AT51" s="279"/>
      <c r="AU51" s="280">
        <f t="shared" si="19"/>
        <v>0</v>
      </c>
      <c r="AV51" s="280" t="e">
        <f t="shared" si="20"/>
        <v>#DIV/0!</v>
      </c>
      <c r="AW51" s="280">
        <f t="shared" si="21"/>
        <v>0</v>
      </c>
      <c r="AX51" s="280" t="e">
        <f t="shared" si="22"/>
        <v>#DIV/0!</v>
      </c>
      <c r="AY51" s="284">
        <v>3</v>
      </c>
      <c r="AZ51" s="282" t="s">
        <v>194</v>
      </c>
      <c r="BA51" s="283">
        <v>0</v>
      </c>
      <c r="BB51" s="279"/>
      <c r="BC51" s="279"/>
      <c r="BD51" s="281">
        <f t="shared" si="23"/>
        <v>0</v>
      </c>
      <c r="BE51" s="281" t="e">
        <f t="shared" si="24"/>
        <v>#DIV/0!</v>
      </c>
      <c r="BF51" s="281">
        <f t="shared" si="25"/>
        <v>0</v>
      </c>
      <c r="BG51" s="281" t="e">
        <f t="shared" si="26"/>
        <v>#DIV/0!</v>
      </c>
      <c r="BH51" s="205">
        <f t="shared" si="7"/>
        <v>0</v>
      </c>
      <c r="BI51" s="205" t="str">
        <f t="shared" si="8"/>
        <v>No Prog ni Ejec</v>
      </c>
      <c r="BJ51" s="205">
        <f t="shared" si="9"/>
        <v>0</v>
      </c>
      <c r="BK51" s="205" t="str">
        <f t="shared" si="10"/>
        <v>No Prog ni Ejec</v>
      </c>
      <c r="BL51" s="205">
        <f t="shared" si="27"/>
        <v>0</v>
      </c>
      <c r="BM51" s="205" t="str">
        <f t="shared" si="28"/>
        <v>No Prog ni Ejec</v>
      </c>
      <c r="BN51" s="205">
        <f t="shared" si="11"/>
        <v>0</v>
      </c>
      <c r="BO51" s="205" t="str">
        <f t="shared" si="12"/>
        <v>No Prog ni Ejec</v>
      </c>
      <c r="BP51" s="206"/>
      <c r="BQ51" s="277">
        <v>1</v>
      </c>
      <c r="BR51" s="218">
        <f t="shared" si="14"/>
        <v>7</v>
      </c>
      <c r="BS51" s="219" t="str">
        <f t="shared" si="29"/>
        <v>Publicación Giro Directo Régimen Subsidiado</v>
      </c>
      <c r="BT51" s="195">
        <f t="shared" si="13"/>
        <v>0</v>
      </c>
      <c r="BU51" s="196"/>
      <c r="BV51" s="196"/>
      <c r="BW51" s="196"/>
      <c r="BX51" s="196"/>
      <c r="BY51" s="196"/>
      <c r="BZ51" s="19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row>
    <row r="52" spans="1:235" s="159" customFormat="1" ht="71.25" x14ac:dyDescent="0.25">
      <c r="A52" s="197">
        <v>11400</v>
      </c>
      <c r="B52" s="194" t="s">
        <v>26</v>
      </c>
      <c r="C52" s="198" t="s">
        <v>188</v>
      </c>
      <c r="D52" s="194" t="s">
        <v>144</v>
      </c>
      <c r="E52" s="198" t="s">
        <v>484</v>
      </c>
      <c r="F52" s="194" t="s">
        <v>195</v>
      </c>
      <c r="G52" s="209" t="s">
        <v>123</v>
      </c>
      <c r="H52" s="216">
        <v>1</v>
      </c>
      <c r="I52" s="198" t="s">
        <v>485</v>
      </c>
      <c r="J52" s="194" t="s">
        <v>196</v>
      </c>
      <c r="K52" s="210">
        <v>0</v>
      </c>
      <c r="L52" s="211">
        <v>1</v>
      </c>
      <c r="M52" s="194" t="s">
        <v>46</v>
      </c>
      <c r="N52" s="194" t="s">
        <v>68</v>
      </c>
      <c r="O52" s="194" t="s">
        <v>21</v>
      </c>
      <c r="P52" s="194" t="s">
        <v>36</v>
      </c>
      <c r="Q52" s="194" t="s">
        <v>216</v>
      </c>
      <c r="R52" s="194" t="s">
        <v>235</v>
      </c>
      <c r="S52" s="194" t="s">
        <v>99</v>
      </c>
      <c r="T52" s="211">
        <v>1</v>
      </c>
      <c r="U52" s="212" t="str">
        <f t="shared" si="15"/>
        <v>Trámite de prestaciones económicas REX</v>
      </c>
      <c r="V52" s="213">
        <f t="shared" si="15"/>
        <v>0</v>
      </c>
      <c r="W52" s="214" t="s">
        <v>117</v>
      </c>
      <c r="X52" s="281">
        <v>1</v>
      </c>
      <c r="Y52" s="282" t="s">
        <v>196</v>
      </c>
      <c r="Z52" s="283">
        <v>0</v>
      </c>
      <c r="AA52" s="279"/>
      <c r="AB52" s="279"/>
      <c r="AC52" s="280">
        <f t="shared" si="16"/>
        <v>0</v>
      </c>
      <c r="AD52" s="280" t="e">
        <f t="shared" si="17"/>
        <v>#DIV/0!</v>
      </c>
      <c r="AE52" s="280">
        <f t="shared" si="0"/>
        <v>0</v>
      </c>
      <c r="AF52" s="280" t="e">
        <f t="shared" si="1"/>
        <v>#DIV/0!</v>
      </c>
      <c r="AG52" s="281">
        <v>1</v>
      </c>
      <c r="AH52" s="282" t="s">
        <v>196</v>
      </c>
      <c r="AI52" s="283">
        <v>0</v>
      </c>
      <c r="AJ52" s="279"/>
      <c r="AK52" s="279"/>
      <c r="AL52" s="280">
        <f t="shared" si="18"/>
        <v>0</v>
      </c>
      <c r="AM52" s="280" t="e">
        <f t="shared" si="2"/>
        <v>#DIV/0!</v>
      </c>
      <c r="AN52" s="280">
        <f t="shared" si="3"/>
        <v>0</v>
      </c>
      <c r="AO52" s="280" t="e">
        <f t="shared" si="4"/>
        <v>#DIV/0!</v>
      </c>
      <c r="AP52" s="281">
        <v>1</v>
      </c>
      <c r="AQ52" s="282" t="s">
        <v>196</v>
      </c>
      <c r="AR52" s="283">
        <v>0</v>
      </c>
      <c r="AS52" s="279"/>
      <c r="AT52" s="279"/>
      <c r="AU52" s="280">
        <f t="shared" si="19"/>
        <v>0</v>
      </c>
      <c r="AV52" s="280" t="e">
        <f t="shared" si="20"/>
        <v>#DIV/0!</v>
      </c>
      <c r="AW52" s="280">
        <f t="shared" si="21"/>
        <v>0</v>
      </c>
      <c r="AX52" s="280" t="e">
        <f t="shared" si="22"/>
        <v>#DIV/0!</v>
      </c>
      <c r="AY52" s="281">
        <v>1</v>
      </c>
      <c r="AZ52" s="282" t="s">
        <v>196</v>
      </c>
      <c r="BA52" s="283">
        <v>0</v>
      </c>
      <c r="BB52" s="279"/>
      <c r="BC52" s="279"/>
      <c r="BD52" s="281">
        <f t="shared" si="23"/>
        <v>0</v>
      </c>
      <c r="BE52" s="281" t="e">
        <f t="shared" si="24"/>
        <v>#DIV/0!</v>
      </c>
      <c r="BF52" s="281">
        <f t="shared" si="25"/>
        <v>0</v>
      </c>
      <c r="BG52" s="281" t="e">
        <f t="shared" si="26"/>
        <v>#DIV/0!</v>
      </c>
      <c r="BH52" s="205">
        <f t="shared" si="7"/>
        <v>0</v>
      </c>
      <c r="BI52" s="205" t="str">
        <f t="shared" si="8"/>
        <v>No Prog ni Ejec</v>
      </c>
      <c r="BJ52" s="205">
        <f t="shared" si="9"/>
        <v>0</v>
      </c>
      <c r="BK52" s="205" t="str">
        <f t="shared" si="10"/>
        <v>No Prog ni Ejec</v>
      </c>
      <c r="BL52" s="205">
        <f t="shared" si="27"/>
        <v>0</v>
      </c>
      <c r="BM52" s="205" t="str">
        <f t="shared" si="28"/>
        <v>No Prog ni Ejec</v>
      </c>
      <c r="BN52" s="205">
        <f t="shared" si="11"/>
        <v>0</v>
      </c>
      <c r="BO52" s="205" t="str">
        <f t="shared" si="12"/>
        <v>No Prog ni Ejec</v>
      </c>
      <c r="BP52" s="206"/>
      <c r="BQ52" s="277">
        <v>1</v>
      </c>
      <c r="BR52" s="208">
        <f t="shared" si="14"/>
        <v>2.3333333333333335</v>
      </c>
      <c r="BS52" s="219" t="str">
        <f t="shared" si="29"/>
        <v>Trámite de prestaciones económicas REX</v>
      </c>
      <c r="BT52" s="195">
        <f t="shared" si="13"/>
        <v>0</v>
      </c>
      <c r="BU52" s="196"/>
      <c r="BV52" s="196"/>
      <c r="BW52" s="196"/>
      <c r="BX52" s="196"/>
      <c r="BY52" s="196"/>
      <c r="BZ52" s="19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row>
    <row r="53" spans="1:235" s="155" customFormat="1" ht="71.25" x14ac:dyDescent="0.25">
      <c r="A53" s="197">
        <v>11400</v>
      </c>
      <c r="B53" s="194" t="s">
        <v>26</v>
      </c>
      <c r="C53" s="198" t="s">
        <v>188</v>
      </c>
      <c r="D53" s="194" t="s">
        <v>144</v>
      </c>
      <c r="E53" s="198" t="s">
        <v>484</v>
      </c>
      <c r="F53" s="194" t="s">
        <v>195</v>
      </c>
      <c r="G53" s="209" t="s">
        <v>123</v>
      </c>
      <c r="H53" s="216">
        <v>1</v>
      </c>
      <c r="I53" s="198" t="s">
        <v>486</v>
      </c>
      <c r="J53" s="194" t="s">
        <v>197</v>
      </c>
      <c r="K53" s="210">
        <v>48960000</v>
      </c>
      <c r="L53" s="211">
        <v>1</v>
      </c>
      <c r="M53" s="194" t="s">
        <v>46</v>
      </c>
      <c r="N53" s="194" t="s">
        <v>68</v>
      </c>
      <c r="O53" s="194" t="s">
        <v>21</v>
      </c>
      <c r="P53" s="194" t="s">
        <v>36</v>
      </c>
      <c r="Q53" s="194" t="s">
        <v>216</v>
      </c>
      <c r="R53" s="194" t="s">
        <v>236</v>
      </c>
      <c r="S53" s="194" t="s">
        <v>99</v>
      </c>
      <c r="T53" s="211">
        <v>1</v>
      </c>
      <c r="U53" s="212" t="str">
        <f t="shared" si="15"/>
        <v>Trámite de devolución de aportes REX</v>
      </c>
      <c r="V53" s="213">
        <f t="shared" si="15"/>
        <v>48960000</v>
      </c>
      <c r="W53" s="222" t="s">
        <v>114</v>
      </c>
      <c r="X53" s="216">
        <v>1</v>
      </c>
      <c r="Y53" s="214" t="s">
        <v>197</v>
      </c>
      <c r="Z53" s="210">
        <v>12240000</v>
      </c>
      <c r="AA53" s="196"/>
      <c r="AB53" s="196"/>
      <c r="AC53" s="204">
        <f t="shared" si="16"/>
        <v>0</v>
      </c>
      <c r="AD53" s="204">
        <f t="shared" si="17"/>
        <v>0</v>
      </c>
      <c r="AE53" s="204">
        <f t="shared" si="0"/>
        <v>0</v>
      </c>
      <c r="AF53" s="204">
        <f t="shared" si="1"/>
        <v>0</v>
      </c>
      <c r="AG53" s="216">
        <v>1</v>
      </c>
      <c r="AH53" s="214" t="s">
        <v>197</v>
      </c>
      <c r="AI53" s="210">
        <v>12240000</v>
      </c>
      <c r="AJ53" s="196"/>
      <c r="AK53" s="196"/>
      <c r="AL53" s="204">
        <f t="shared" si="18"/>
        <v>0</v>
      </c>
      <c r="AM53" s="204">
        <f t="shared" si="2"/>
        <v>0</v>
      </c>
      <c r="AN53" s="204">
        <f t="shared" si="3"/>
        <v>0</v>
      </c>
      <c r="AO53" s="204">
        <f t="shared" si="4"/>
        <v>0</v>
      </c>
      <c r="AP53" s="216">
        <v>1</v>
      </c>
      <c r="AQ53" s="214" t="s">
        <v>197</v>
      </c>
      <c r="AR53" s="210">
        <v>12240000</v>
      </c>
      <c r="AS53" s="196"/>
      <c r="AT53" s="196"/>
      <c r="AU53" s="204">
        <f t="shared" si="19"/>
        <v>0</v>
      </c>
      <c r="AV53" s="204">
        <f t="shared" si="20"/>
        <v>0</v>
      </c>
      <c r="AW53" s="204">
        <f t="shared" si="21"/>
        <v>0</v>
      </c>
      <c r="AX53" s="204">
        <f t="shared" si="22"/>
        <v>0</v>
      </c>
      <c r="AY53" s="216">
        <v>1</v>
      </c>
      <c r="AZ53" s="214" t="s">
        <v>197</v>
      </c>
      <c r="BA53" s="210">
        <v>12240000</v>
      </c>
      <c r="BB53" s="196"/>
      <c r="BC53" s="196"/>
      <c r="BD53" s="216">
        <f t="shared" si="23"/>
        <v>0</v>
      </c>
      <c r="BE53" s="216">
        <f t="shared" si="24"/>
        <v>0</v>
      </c>
      <c r="BF53" s="216">
        <f t="shared" si="25"/>
        <v>0</v>
      </c>
      <c r="BG53" s="216">
        <f t="shared" si="26"/>
        <v>0</v>
      </c>
      <c r="BH53" s="228">
        <f t="shared" si="7"/>
        <v>0</v>
      </c>
      <c r="BI53" s="228">
        <f t="shared" si="8"/>
        <v>0</v>
      </c>
      <c r="BJ53" s="228">
        <f t="shared" si="9"/>
        <v>0</v>
      </c>
      <c r="BK53" s="228">
        <f t="shared" si="10"/>
        <v>0</v>
      </c>
      <c r="BL53" s="228">
        <f t="shared" si="27"/>
        <v>0</v>
      </c>
      <c r="BM53" s="228">
        <f t="shared" si="28"/>
        <v>0</v>
      </c>
      <c r="BN53" s="228">
        <f t="shared" si="11"/>
        <v>0</v>
      </c>
      <c r="BO53" s="228">
        <f t="shared" si="12"/>
        <v>0</v>
      </c>
      <c r="BP53" s="206"/>
      <c r="BQ53" s="277">
        <v>1</v>
      </c>
      <c r="BR53" s="208">
        <f t="shared" si="14"/>
        <v>2.3333333333333335</v>
      </c>
      <c r="BS53" s="219" t="str">
        <f t="shared" si="29"/>
        <v>Trámite de devolución de aportes REX</v>
      </c>
      <c r="BT53" s="195">
        <f t="shared" si="13"/>
        <v>28560000</v>
      </c>
      <c r="BU53" s="196"/>
      <c r="BV53" s="196"/>
      <c r="BW53" s="196"/>
      <c r="BX53" s="196"/>
      <c r="BY53" s="196"/>
      <c r="BZ53" s="19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row>
    <row r="54" spans="1:235" s="155" customFormat="1" ht="71.25" x14ac:dyDescent="0.25">
      <c r="A54" s="197">
        <v>11400</v>
      </c>
      <c r="B54" s="194" t="s">
        <v>26</v>
      </c>
      <c r="C54" s="198" t="s">
        <v>188</v>
      </c>
      <c r="D54" s="194" t="s">
        <v>144</v>
      </c>
      <c r="E54" s="198" t="s">
        <v>487</v>
      </c>
      <c r="F54" s="194" t="s">
        <v>476</v>
      </c>
      <c r="G54" s="209" t="s">
        <v>123</v>
      </c>
      <c r="H54" s="216">
        <v>1</v>
      </c>
      <c r="I54" s="198" t="s">
        <v>488</v>
      </c>
      <c r="J54" s="194" t="s">
        <v>473</v>
      </c>
      <c r="K54" s="210">
        <v>164378848</v>
      </c>
      <c r="L54" s="211">
        <v>1</v>
      </c>
      <c r="M54" s="194" t="s">
        <v>46</v>
      </c>
      <c r="N54" s="194" t="s">
        <v>68</v>
      </c>
      <c r="O54" s="194" t="s">
        <v>21</v>
      </c>
      <c r="P54" s="194" t="s">
        <v>36</v>
      </c>
      <c r="Q54" s="194" t="s">
        <v>216</v>
      </c>
      <c r="R54" s="194" t="s">
        <v>474</v>
      </c>
      <c r="S54" s="194" t="s">
        <v>99</v>
      </c>
      <c r="T54" s="211">
        <v>1</v>
      </c>
      <c r="U54" s="212" t="str">
        <f t="shared" si="15"/>
        <v>Elaboración de solicitudes de aclaración sobre apropiaciones sin justa causa</v>
      </c>
      <c r="V54" s="213">
        <f t="shared" si="15"/>
        <v>164378848</v>
      </c>
      <c r="W54" s="222" t="s">
        <v>114</v>
      </c>
      <c r="X54" s="216">
        <v>1</v>
      </c>
      <c r="Y54" s="214" t="s">
        <v>473</v>
      </c>
      <c r="Z54" s="210">
        <v>46231551</v>
      </c>
      <c r="AA54" s="196"/>
      <c r="AB54" s="196"/>
      <c r="AC54" s="204">
        <f t="shared" si="16"/>
        <v>0</v>
      </c>
      <c r="AD54" s="204">
        <f t="shared" si="17"/>
        <v>0</v>
      </c>
      <c r="AE54" s="204">
        <f t="shared" si="0"/>
        <v>0</v>
      </c>
      <c r="AF54" s="204">
        <f t="shared" si="1"/>
        <v>0</v>
      </c>
      <c r="AG54" s="216">
        <v>1</v>
      </c>
      <c r="AH54" s="214" t="s">
        <v>473</v>
      </c>
      <c r="AI54" s="210">
        <v>46231551</v>
      </c>
      <c r="AJ54" s="196"/>
      <c r="AK54" s="196"/>
      <c r="AL54" s="204">
        <f t="shared" si="18"/>
        <v>0</v>
      </c>
      <c r="AM54" s="204">
        <f t="shared" si="2"/>
        <v>0</v>
      </c>
      <c r="AN54" s="204">
        <f t="shared" si="3"/>
        <v>0</v>
      </c>
      <c r="AO54" s="204">
        <f t="shared" si="4"/>
        <v>0</v>
      </c>
      <c r="AP54" s="216">
        <v>1</v>
      </c>
      <c r="AQ54" s="214" t="s">
        <v>473</v>
      </c>
      <c r="AR54" s="210">
        <v>41094712</v>
      </c>
      <c r="AS54" s="196"/>
      <c r="AT54" s="196"/>
      <c r="AU54" s="204">
        <f t="shared" si="19"/>
        <v>0</v>
      </c>
      <c r="AV54" s="204">
        <f t="shared" si="20"/>
        <v>0</v>
      </c>
      <c r="AW54" s="204">
        <f t="shared" si="21"/>
        <v>0</v>
      </c>
      <c r="AX54" s="204">
        <f t="shared" si="22"/>
        <v>0</v>
      </c>
      <c r="AY54" s="216">
        <v>1</v>
      </c>
      <c r="AZ54" s="214" t="s">
        <v>473</v>
      </c>
      <c r="BA54" s="210">
        <v>30821034</v>
      </c>
      <c r="BB54" s="196"/>
      <c r="BC54" s="196"/>
      <c r="BD54" s="216">
        <f t="shared" si="23"/>
        <v>0</v>
      </c>
      <c r="BE54" s="216">
        <f t="shared" si="24"/>
        <v>0</v>
      </c>
      <c r="BF54" s="216">
        <f t="shared" si="25"/>
        <v>0</v>
      </c>
      <c r="BG54" s="216">
        <f t="shared" si="26"/>
        <v>0</v>
      </c>
      <c r="BH54" s="228">
        <f t="shared" si="7"/>
        <v>0</v>
      </c>
      <c r="BI54" s="228">
        <f t="shared" si="8"/>
        <v>0</v>
      </c>
      <c r="BJ54" s="228">
        <f t="shared" si="9"/>
        <v>0</v>
      </c>
      <c r="BK54" s="228">
        <f t="shared" si="10"/>
        <v>0</v>
      </c>
      <c r="BL54" s="228">
        <f t="shared" si="27"/>
        <v>0</v>
      </c>
      <c r="BM54" s="228">
        <f t="shared" si="28"/>
        <v>0</v>
      </c>
      <c r="BN54" s="228">
        <f t="shared" si="11"/>
        <v>0</v>
      </c>
      <c r="BO54" s="228">
        <f t="shared" si="12"/>
        <v>0</v>
      </c>
      <c r="BP54" s="206"/>
      <c r="BQ54" s="277">
        <v>1</v>
      </c>
      <c r="BR54" s="208">
        <f t="shared" si="14"/>
        <v>2.3333333333333335</v>
      </c>
      <c r="BS54" s="219" t="str">
        <f t="shared" si="29"/>
        <v>Elaboración de solicitudes de aclaración sobre apropiaciones sin justa causa</v>
      </c>
      <c r="BT54" s="195">
        <f t="shared" si="13"/>
        <v>106161339.33333333</v>
      </c>
      <c r="BU54" s="196"/>
      <c r="BV54" s="196"/>
      <c r="BW54" s="196"/>
      <c r="BX54" s="196"/>
      <c r="BY54" s="196"/>
      <c r="BZ54" s="19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row>
    <row r="55" spans="1:235" s="159" customFormat="1" ht="71.25" x14ac:dyDescent="0.25">
      <c r="A55" s="197">
        <v>11400</v>
      </c>
      <c r="B55" s="194" t="s">
        <v>26</v>
      </c>
      <c r="C55" s="198" t="s">
        <v>188</v>
      </c>
      <c r="D55" s="194" t="s">
        <v>144</v>
      </c>
      <c r="E55" s="198" t="s">
        <v>489</v>
      </c>
      <c r="F55" s="194" t="s">
        <v>198</v>
      </c>
      <c r="G55" s="209" t="s">
        <v>123</v>
      </c>
      <c r="H55" s="216">
        <v>1</v>
      </c>
      <c r="I55" s="198" t="s">
        <v>490</v>
      </c>
      <c r="J55" s="194" t="s">
        <v>199</v>
      </c>
      <c r="K55" s="210">
        <v>0</v>
      </c>
      <c r="L55" s="211">
        <v>1</v>
      </c>
      <c r="M55" s="194" t="s">
        <v>46</v>
      </c>
      <c r="N55" s="194" t="s">
        <v>68</v>
      </c>
      <c r="O55" s="194" t="s">
        <v>21</v>
      </c>
      <c r="P55" s="194" t="s">
        <v>36</v>
      </c>
      <c r="Q55" s="194" t="s">
        <v>223</v>
      </c>
      <c r="R55" s="194" t="s">
        <v>475</v>
      </c>
      <c r="S55" s="194" t="s">
        <v>99</v>
      </c>
      <c r="T55" s="211">
        <v>1</v>
      </c>
      <c r="U55" s="212" t="str">
        <f t="shared" si="15"/>
        <v>Elaboración de Informes de auditoría de reintegro de recursos</v>
      </c>
      <c r="V55" s="213">
        <f t="shared" si="15"/>
        <v>0</v>
      </c>
      <c r="W55" s="214" t="s">
        <v>117</v>
      </c>
      <c r="X55" s="281">
        <v>1</v>
      </c>
      <c r="Y55" s="282" t="s">
        <v>199</v>
      </c>
      <c r="Z55" s="283">
        <v>0</v>
      </c>
      <c r="AA55" s="279"/>
      <c r="AB55" s="279"/>
      <c r="AC55" s="280">
        <f t="shared" si="16"/>
        <v>0</v>
      </c>
      <c r="AD55" s="280" t="e">
        <f t="shared" si="17"/>
        <v>#DIV/0!</v>
      </c>
      <c r="AE55" s="280">
        <f t="shared" si="0"/>
        <v>0</v>
      </c>
      <c r="AF55" s="280" t="e">
        <f t="shared" si="1"/>
        <v>#DIV/0!</v>
      </c>
      <c r="AG55" s="281">
        <v>1</v>
      </c>
      <c r="AH55" s="282" t="s">
        <v>199</v>
      </c>
      <c r="AI55" s="283">
        <v>0</v>
      </c>
      <c r="AJ55" s="279"/>
      <c r="AK55" s="279"/>
      <c r="AL55" s="280">
        <f t="shared" si="18"/>
        <v>0</v>
      </c>
      <c r="AM55" s="280" t="e">
        <f t="shared" si="2"/>
        <v>#DIV/0!</v>
      </c>
      <c r="AN55" s="280">
        <f t="shared" si="3"/>
        <v>0</v>
      </c>
      <c r="AO55" s="280" t="e">
        <f t="shared" si="4"/>
        <v>#DIV/0!</v>
      </c>
      <c r="AP55" s="281">
        <v>1</v>
      </c>
      <c r="AQ55" s="282" t="s">
        <v>199</v>
      </c>
      <c r="AR55" s="283">
        <v>0</v>
      </c>
      <c r="AS55" s="279"/>
      <c r="AT55" s="279"/>
      <c r="AU55" s="280">
        <f t="shared" si="19"/>
        <v>0</v>
      </c>
      <c r="AV55" s="280" t="e">
        <f t="shared" si="20"/>
        <v>#DIV/0!</v>
      </c>
      <c r="AW55" s="280">
        <f t="shared" si="21"/>
        <v>0</v>
      </c>
      <c r="AX55" s="280" t="e">
        <f t="shared" si="22"/>
        <v>#DIV/0!</v>
      </c>
      <c r="AY55" s="281">
        <v>1</v>
      </c>
      <c r="AZ55" s="282" t="s">
        <v>199</v>
      </c>
      <c r="BA55" s="283">
        <v>0</v>
      </c>
      <c r="BB55" s="279"/>
      <c r="BC55" s="279"/>
      <c r="BD55" s="281">
        <f t="shared" si="23"/>
        <v>0</v>
      </c>
      <c r="BE55" s="281" t="e">
        <f t="shared" si="24"/>
        <v>#DIV/0!</v>
      </c>
      <c r="BF55" s="281">
        <f t="shared" si="25"/>
        <v>0</v>
      </c>
      <c r="BG55" s="281" t="e">
        <f t="shared" si="26"/>
        <v>#DIV/0!</v>
      </c>
      <c r="BH55" s="205">
        <f t="shared" si="7"/>
        <v>0</v>
      </c>
      <c r="BI55" s="205" t="str">
        <f t="shared" si="8"/>
        <v>No Prog ni Ejec</v>
      </c>
      <c r="BJ55" s="205">
        <f t="shared" si="9"/>
        <v>0</v>
      </c>
      <c r="BK55" s="205" t="str">
        <f t="shared" si="10"/>
        <v>No Prog ni Ejec</v>
      </c>
      <c r="BL55" s="205">
        <f t="shared" si="27"/>
        <v>0</v>
      </c>
      <c r="BM55" s="205" t="str">
        <f t="shared" si="28"/>
        <v>No Prog ni Ejec</v>
      </c>
      <c r="BN55" s="205">
        <f t="shared" si="11"/>
        <v>0</v>
      </c>
      <c r="BO55" s="205" t="str">
        <f t="shared" si="12"/>
        <v>No Prog ni Ejec</v>
      </c>
      <c r="BP55" s="206"/>
      <c r="BQ55" s="277">
        <v>1</v>
      </c>
      <c r="BR55" s="208">
        <f t="shared" si="14"/>
        <v>2.3333333333333335</v>
      </c>
      <c r="BS55" s="219" t="str">
        <f t="shared" si="29"/>
        <v>Elaboración de Informes de auditoría de reintegro de recursos</v>
      </c>
      <c r="BT55" s="195">
        <f t="shared" si="13"/>
        <v>0</v>
      </c>
      <c r="BU55" s="196"/>
      <c r="BV55" s="196"/>
      <c r="BW55" s="196"/>
      <c r="BX55" s="196"/>
      <c r="BY55" s="196"/>
      <c r="BZ55" s="19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row>
    <row r="56" spans="1:235" s="154" customFormat="1" ht="137.25" customHeight="1" x14ac:dyDescent="0.25">
      <c r="A56" s="197">
        <v>11400</v>
      </c>
      <c r="B56" s="194" t="s">
        <v>26</v>
      </c>
      <c r="C56" s="198" t="s">
        <v>188</v>
      </c>
      <c r="D56" s="194" t="s">
        <v>144</v>
      </c>
      <c r="E56" s="198" t="s">
        <v>491</v>
      </c>
      <c r="F56" s="194" t="s">
        <v>478</v>
      </c>
      <c r="G56" s="209" t="s">
        <v>123</v>
      </c>
      <c r="H56" s="216">
        <v>1</v>
      </c>
      <c r="I56" s="198" t="s">
        <v>492</v>
      </c>
      <c r="J56" s="194" t="s">
        <v>477</v>
      </c>
      <c r="K56" s="210">
        <v>0</v>
      </c>
      <c r="L56" s="211">
        <v>1</v>
      </c>
      <c r="M56" s="194" t="s">
        <v>46</v>
      </c>
      <c r="N56" s="194" t="s">
        <v>68</v>
      </c>
      <c r="O56" s="194" t="s">
        <v>21</v>
      </c>
      <c r="P56" s="194" t="s">
        <v>36</v>
      </c>
      <c r="Q56" s="194" t="s">
        <v>223</v>
      </c>
      <c r="R56" s="194" t="s">
        <v>507</v>
      </c>
      <c r="S56" s="194" t="s">
        <v>99</v>
      </c>
      <c r="T56" s="211">
        <v>1</v>
      </c>
      <c r="U56" s="212" t="str">
        <f t="shared" si="15"/>
        <v>Elaboración de comunicaciones con las conclusiones del procedimiento de la auditoría de reintegro de recursos</v>
      </c>
      <c r="V56" s="213">
        <f t="shared" si="15"/>
        <v>0</v>
      </c>
      <c r="W56" s="214" t="s">
        <v>117</v>
      </c>
      <c r="X56" s="216">
        <v>1</v>
      </c>
      <c r="Y56" s="214" t="s">
        <v>477</v>
      </c>
      <c r="Z56" s="210">
        <v>0</v>
      </c>
      <c r="AA56" s="196"/>
      <c r="AB56" s="196"/>
      <c r="AC56" s="204">
        <f t="shared" si="16"/>
        <v>0</v>
      </c>
      <c r="AD56" s="204" t="e">
        <f t="shared" si="17"/>
        <v>#DIV/0!</v>
      </c>
      <c r="AE56" s="204">
        <f t="shared" si="0"/>
        <v>0</v>
      </c>
      <c r="AF56" s="204" t="e">
        <f t="shared" si="1"/>
        <v>#DIV/0!</v>
      </c>
      <c r="AG56" s="216">
        <v>1</v>
      </c>
      <c r="AH56" s="214" t="s">
        <v>477</v>
      </c>
      <c r="AI56" s="210">
        <v>0</v>
      </c>
      <c r="AJ56" s="196"/>
      <c r="AK56" s="196"/>
      <c r="AL56" s="204">
        <f t="shared" si="18"/>
        <v>0</v>
      </c>
      <c r="AM56" s="204" t="e">
        <f t="shared" si="2"/>
        <v>#DIV/0!</v>
      </c>
      <c r="AN56" s="204">
        <f t="shared" si="3"/>
        <v>0</v>
      </c>
      <c r="AO56" s="204" t="e">
        <f t="shared" si="4"/>
        <v>#DIV/0!</v>
      </c>
      <c r="AP56" s="216">
        <v>1</v>
      </c>
      <c r="AQ56" s="214" t="s">
        <v>477</v>
      </c>
      <c r="AR56" s="210">
        <v>0</v>
      </c>
      <c r="AS56" s="196"/>
      <c r="AT56" s="196"/>
      <c r="AU56" s="204">
        <f t="shared" si="19"/>
        <v>0</v>
      </c>
      <c r="AV56" s="204" t="e">
        <f t="shared" si="20"/>
        <v>#DIV/0!</v>
      </c>
      <c r="AW56" s="204">
        <f t="shared" si="21"/>
        <v>0</v>
      </c>
      <c r="AX56" s="204" t="e">
        <f t="shared" si="22"/>
        <v>#DIV/0!</v>
      </c>
      <c r="AY56" s="216">
        <v>1</v>
      </c>
      <c r="AZ56" s="214" t="s">
        <v>477</v>
      </c>
      <c r="BA56" s="210">
        <v>0</v>
      </c>
      <c r="BB56" s="196"/>
      <c r="BC56" s="196"/>
      <c r="BD56" s="216">
        <f t="shared" si="23"/>
        <v>0</v>
      </c>
      <c r="BE56" s="216" t="e">
        <f t="shared" si="24"/>
        <v>#DIV/0!</v>
      </c>
      <c r="BF56" s="216">
        <f t="shared" si="25"/>
        <v>0</v>
      </c>
      <c r="BG56" s="216" t="e">
        <f t="shared" si="26"/>
        <v>#DIV/0!</v>
      </c>
      <c r="BH56" s="207">
        <f t="shared" si="7"/>
        <v>0</v>
      </c>
      <c r="BI56" s="207" t="str">
        <f t="shared" si="8"/>
        <v>No Prog ni Ejec</v>
      </c>
      <c r="BJ56" s="207">
        <f t="shared" si="9"/>
        <v>0</v>
      </c>
      <c r="BK56" s="207" t="str">
        <f t="shared" si="10"/>
        <v>No Prog ni Ejec</v>
      </c>
      <c r="BL56" s="207">
        <f t="shared" si="27"/>
        <v>0</v>
      </c>
      <c r="BM56" s="207" t="str">
        <f t="shared" si="28"/>
        <v>No Prog ni Ejec</v>
      </c>
      <c r="BN56" s="207">
        <f t="shared" si="11"/>
        <v>0</v>
      </c>
      <c r="BO56" s="207" t="str">
        <f t="shared" si="12"/>
        <v>No Prog ni Ejec</v>
      </c>
      <c r="BP56" s="206"/>
      <c r="BQ56" s="277">
        <v>1</v>
      </c>
      <c r="BR56" s="208">
        <f t="shared" si="14"/>
        <v>2.3333333333333335</v>
      </c>
      <c r="BS56" s="219" t="str">
        <f t="shared" si="29"/>
        <v>Elaboración de comunicaciones con las conclusiones del procedimiento de la auditoría de reintegro de recursos</v>
      </c>
      <c r="BT56" s="195">
        <f t="shared" si="13"/>
        <v>0</v>
      </c>
      <c r="BU56" s="196"/>
      <c r="BV56" s="196"/>
      <c r="BW56" s="196"/>
      <c r="BX56" s="196"/>
      <c r="BY56" s="196"/>
      <c r="BZ56" s="19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row>
    <row r="57" spans="1:235" s="154" customFormat="1" ht="71.25" x14ac:dyDescent="0.25">
      <c r="A57" s="197">
        <v>11400</v>
      </c>
      <c r="B57" s="194" t="s">
        <v>26</v>
      </c>
      <c r="C57" s="198" t="s">
        <v>188</v>
      </c>
      <c r="D57" s="194" t="s">
        <v>144</v>
      </c>
      <c r="E57" s="198" t="s">
        <v>493</v>
      </c>
      <c r="F57" s="194" t="s">
        <v>200</v>
      </c>
      <c r="G57" s="209" t="s">
        <v>123</v>
      </c>
      <c r="H57" s="216">
        <v>1</v>
      </c>
      <c r="I57" s="198" t="s">
        <v>494</v>
      </c>
      <c r="J57" s="194" t="s">
        <v>201</v>
      </c>
      <c r="K57" s="210">
        <v>0</v>
      </c>
      <c r="L57" s="211">
        <v>1</v>
      </c>
      <c r="M57" s="194" t="s">
        <v>46</v>
      </c>
      <c r="N57" s="194" t="s">
        <v>68</v>
      </c>
      <c r="O57" s="194" t="s">
        <v>21</v>
      </c>
      <c r="P57" s="194" t="s">
        <v>36</v>
      </c>
      <c r="Q57" s="194" t="s">
        <v>223</v>
      </c>
      <c r="R57" s="194" t="s">
        <v>238</v>
      </c>
      <c r="S57" s="194" t="s">
        <v>99</v>
      </c>
      <c r="T57" s="211">
        <v>1</v>
      </c>
      <c r="U57" s="212" t="str">
        <f t="shared" si="15"/>
        <v>Solicitud de aclaraciones a las EPS con saldos a favor de ADRES en el proceso LMA</v>
      </c>
      <c r="V57" s="213">
        <f t="shared" si="15"/>
        <v>0</v>
      </c>
      <c r="W57" s="214" t="s">
        <v>117</v>
      </c>
      <c r="X57" s="216">
        <v>1</v>
      </c>
      <c r="Y57" s="214" t="s">
        <v>201</v>
      </c>
      <c r="Z57" s="210">
        <v>0</v>
      </c>
      <c r="AA57" s="196"/>
      <c r="AB57" s="196"/>
      <c r="AC57" s="204">
        <f t="shared" si="16"/>
        <v>0</v>
      </c>
      <c r="AD57" s="204" t="e">
        <f t="shared" si="17"/>
        <v>#DIV/0!</v>
      </c>
      <c r="AE57" s="204">
        <f t="shared" si="0"/>
        <v>0</v>
      </c>
      <c r="AF57" s="204" t="e">
        <f t="shared" si="1"/>
        <v>#DIV/0!</v>
      </c>
      <c r="AG57" s="216">
        <v>1</v>
      </c>
      <c r="AH57" s="214" t="s">
        <v>201</v>
      </c>
      <c r="AI57" s="210">
        <v>0</v>
      </c>
      <c r="AJ57" s="196"/>
      <c r="AK57" s="196"/>
      <c r="AL57" s="204">
        <f t="shared" si="18"/>
        <v>0</v>
      </c>
      <c r="AM57" s="204" t="e">
        <f t="shared" si="2"/>
        <v>#DIV/0!</v>
      </c>
      <c r="AN57" s="204">
        <f t="shared" si="3"/>
        <v>0</v>
      </c>
      <c r="AO57" s="204" t="e">
        <f t="shared" si="4"/>
        <v>#DIV/0!</v>
      </c>
      <c r="AP57" s="216">
        <v>1</v>
      </c>
      <c r="AQ57" s="214" t="s">
        <v>201</v>
      </c>
      <c r="AR57" s="210">
        <v>0</v>
      </c>
      <c r="AS57" s="196"/>
      <c r="AT57" s="196"/>
      <c r="AU57" s="204">
        <f t="shared" si="19"/>
        <v>0</v>
      </c>
      <c r="AV57" s="204" t="e">
        <f t="shared" si="20"/>
        <v>#DIV/0!</v>
      </c>
      <c r="AW57" s="204">
        <f t="shared" si="21"/>
        <v>0</v>
      </c>
      <c r="AX57" s="204" t="e">
        <f t="shared" si="22"/>
        <v>#DIV/0!</v>
      </c>
      <c r="AY57" s="216">
        <v>1</v>
      </c>
      <c r="AZ57" s="214" t="s">
        <v>201</v>
      </c>
      <c r="BA57" s="210">
        <v>0</v>
      </c>
      <c r="BB57" s="196"/>
      <c r="BC57" s="196"/>
      <c r="BD57" s="216">
        <f t="shared" si="23"/>
        <v>0</v>
      </c>
      <c r="BE57" s="216" t="e">
        <f t="shared" si="24"/>
        <v>#DIV/0!</v>
      </c>
      <c r="BF57" s="216">
        <f t="shared" si="25"/>
        <v>0</v>
      </c>
      <c r="BG57" s="216" t="e">
        <f t="shared" si="26"/>
        <v>#DIV/0!</v>
      </c>
      <c r="BH57" s="207">
        <f t="shared" si="7"/>
        <v>0</v>
      </c>
      <c r="BI57" s="207" t="str">
        <f t="shared" si="8"/>
        <v>No Prog ni Ejec</v>
      </c>
      <c r="BJ57" s="207">
        <f t="shared" si="9"/>
        <v>0</v>
      </c>
      <c r="BK57" s="207" t="str">
        <f t="shared" si="10"/>
        <v>No Prog ni Ejec</v>
      </c>
      <c r="BL57" s="207">
        <f t="shared" si="27"/>
        <v>0</v>
      </c>
      <c r="BM57" s="207" t="str">
        <f t="shared" si="28"/>
        <v>No Prog ni Ejec</v>
      </c>
      <c r="BN57" s="207">
        <f t="shared" si="11"/>
        <v>0</v>
      </c>
      <c r="BO57" s="207" t="str">
        <f t="shared" si="12"/>
        <v>No Prog ni Ejec</v>
      </c>
      <c r="BP57" s="206"/>
      <c r="BQ57" s="277">
        <v>1</v>
      </c>
      <c r="BR57" s="208">
        <f t="shared" si="14"/>
        <v>2.3333333333333335</v>
      </c>
      <c r="BS57" s="219" t="str">
        <f t="shared" si="29"/>
        <v>Solicitud de aclaraciones a las EPS con saldos a favor de ADRES en el proceso LMA</v>
      </c>
      <c r="BT57" s="195">
        <f t="shared" si="13"/>
        <v>0</v>
      </c>
      <c r="BU57" s="196"/>
      <c r="BV57" s="196"/>
      <c r="BW57" s="196"/>
      <c r="BX57" s="196"/>
      <c r="BY57" s="196"/>
      <c r="BZ57" s="19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row>
    <row r="58" spans="1:235" s="159" customFormat="1" ht="71.25" x14ac:dyDescent="0.25">
      <c r="A58" s="197">
        <v>11400</v>
      </c>
      <c r="B58" s="194" t="s">
        <v>26</v>
      </c>
      <c r="C58" s="198" t="s">
        <v>188</v>
      </c>
      <c r="D58" s="194" t="s">
        <v>144</v>
      </c>
      <c r="E58" s="198" t="s">
        <v>495</v>
      </c>
      <c r="F58" s="194" t="s">
        <v>202</v>
      </c>
      <c r="G58" s="209" t="s">
        <v>124</v>
      </c>
      <c r="H58" s="198">
        <v>1</v>
      </c>
      <c r="I58" s="198" t="s">
        <v>496</v>
      </c>
      <c r="J58" s="194" t="s">
        <v>203</v>
      </c>
      <c r="K58" s="210">
        <v>0</v>
      </c>
      <c r="L58" s="211">
        <v>1</v>
      </c>
      <c r="M58" s="194" t="s">
        <v>46</v>
      </c>
      <c r="N58" s="194" t="s">
        <v>68</v>
      </c>
      <c r="O58" s="194" t="s">
        <v>34</v>
      </c>
      <c r="P58" s="194" t="s">
        <v>35</v>
      </c>
      <c r="Q58" s="194" t="s">
        <v>225</v>
      </c>
      <c r="R58" s="194" t="s">
        <v>508</v>
      </c>
      <c r="S58" s="194" t="s">
        <v>99</v>
      </c>
      <c r="T58" s="215">
        <v>1</v>
      </c>
      <c r="U58" s="212" t="str">
        <f t="shared" si="15"/>
        <v>No. De Compras de Carteras realizadas</v>
      </c>
      <c r="V58" s="213">
        <f t="shared" si="15"/>
        <v>0</v>
      </c>
      <c r="W58" s="214" t="s">
        <v>117</v>
      </c>
      <c r="X58" s="284">
        <v>0</v>
      </c>
      <c r="Y58" s="282" t="s">
        <v>203</v>
      </c>
      <c r="Z58" s="283">
        <v>0</v>
      </c>
      <c r="AA58" s="279"/>
      <c r="AB58" s="279"/>
      <c r="AC58" s="280" t="e">
        <f t="shared" si="16"/>
        <v>#DIV/0!</v>
      </c>
      <c r="AD58" s="280" t="e">
        <f t="shared" si="17"/>
        <v>#DIV/0!</v>
      </c>
      <c r="AE58" s="280">
        <f t="shared" si="0"/>
        <v>0</v>
      </c>
      <c r="AF58" s="280" t="e">
        <f t="shared" si="1"/>
        <v>#DIV/0!</v>
      </c>
      <c r="AG58" s="284">
        <v>0</v>
      </c>
      <c r="AH58" s="282" t="s">
        <v>203</v>
      </c>
      <c r="AI58" s="283">
        <v>0</v>
      </c>
      <c r="AJ58" s="279"/>
      <c r="AK58" s="279"/>
      <c r="AL58" s="280" t="e">
        <f t="shared" si="18"/>
        <v>#DIV/0!</v>
      </c>
      <c r="AM58" s="280" t="e">
        <f t="shared" si="2"/>
        <v>#DIV/0!</v>
      </c>
      <c r="AN58" s="280">
        <f t="shared" si="3"/>
        <v>0</v>
      </c>
      <c r="AO58" s="280" t="e">
        <f t="shared" si="4"/>
        <v>#DIV/0!</v>
      </c>
      <c r="AP58" s="284">
        <v>0</v>
      </c>
      <c r="AQ58" s="282" t="s">
        <v>203</v>
      </c>
      <c r="AR58" s="283">
        <v>0</v>
      </c>
      <c r="AS58" s="279"/>
      <c r="AT58" s="279"/>
      <c r="AU58" s="280" t="e">
        <f t="shared" si="19"/>
        <v>#DIV/0!</v>
      </c>
      <c r="AV58" s="280" t="e">
        <f t="shared" si="20"/>
        <v>#DIV/0!</v>
      </c>
      <c r="AW58" s="280">
        <f t="shared" si="21"/>
        <v>0</v>
      </c>
      <c r="AX58" s="280" t="e">
        <f t="shared" si="22"/>
        <v>#DIV/0!</v>
      </c>
      <c r="AY58" s="284">
        <v>1</v>
      </c>
      <c r="AZ58" s="282" t="s">
        <v>203</v>
      </c>
      <c r="BA58" s="283">
        <v>0</v>
      </c>
      <c r="BB58" s="279"/>
      <c r="BC58" s="279"/>
      <c r="BD58" s="281">
        <f t="shared" si="23"/>
        <v>0</v>
      </c>
      <c r="BE58" s="281" t="e">
        <f t="shared" si="24"/>
        <v>#DIV/0!</v>
      </c>
      <c r="BF58" s="281">
        <f t="shared" si="25"/>
        <v>0</v>
      </c>
      <c r="BG58" s="281" t="e">
        <f t="shared" si="26"/>
        <v>#DIV/0!</v>
      </c>
      <c r="BH58" s="205" t="str">
        <f t="shared" si="7"/>
        <v>No Prog ni Ejec</v>
      </c>
      <c r="BI58" s="205" t="str">
        <f t="shared" si="8"/>
        <v>No Prog ni Ejec</v>
      </c>
      <c r="BJ58" s="205" t="str">
        <f t="shared" si="9"/>
        <v>No Prog ni Ejec</v>
      </c>
      <c r="BK58" s="205" t="str">
        <f t="shared" si="10"/>
        <v>No Prog ni Ejec</v>
      </c>
      <c r="BL58" s="205" t="str">
        <f t="shared" si="27"/>
        <v>No Prog ni Ejec</v>
      </c>
      <c r="BM58" s="205" t="str">
        <f t="shared" si="28"/>
        <v>No Prog ni Ejec</v>
      </c>
      <c r="BN58" s="205">
        <f t="shared" si="11"/>
        <v>0</v>
      </c>
      <c r="BO58" s="205" t="str">
        <f t="shared" si="12"/>
        <v>No Prog ni Ejec</v>
      </c>
      <c r="BP58" s="206"/>
      <c r="BQ58" s="277">
        <v>8</v>
      </c>
      <c r="BR58" s="218">
        <f t="shared" si="14"/>
        <v>0</v>
      </c>
      <c r="BS58" s="219" t="str">
        <f t="shared" si="29"/>
        <v>No. De Compras de Carteras realizadas</v>
      </c>
      <c r="BT58" s="195">
        <f t="shared" si="13"/>
        <v>0</v>
      </c>
      <c r="BU58" s="196"/>
      <c r="BV58" s="196"/>
      <c r="BW58" s="196"/>
      <c r="BX58" s="196"/>
      <c r="BY58" s="196"/>
      <c r="BZ58" s="19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row>
    <row r="59" spans="1:235" s="154" customFormat="1" ht="71.25" x14ac:dyDescent="0.25">
      <c r="A59" s="197">
        <v>11400</v>
      </c>
      <c r="B59" s="194" t="s">
        <v>26</v>
      </c>
      <c r="C59" s="198" t="s">
        <v>188</v>
      </c>
      <c r="D59" s="194" t="s">
        <v>144</v>
      </c>
      <c r="E59" s="198" t="s">
        <v>497</v>
      </c>
      <c r="F59" s="194" t="s">
        <v>204</v>
      </c>
      <c r="G59" s="209" t="s">
        <v>123</v>
      </c>
      <c r="H59" s="216">
        <v>1</v>
      </c>
      <c r="I59" s="198" t="s">
        <v>498</v>
      </c>
      <c r="J59" s="194" t="s">
        <v>205</v>
      </c>
      <c r="K59" s="210">
        <v>0</v>
      </c>
      <c r="L59" s="211">
        <v>1</v>
      </c>
      <c r="M59" s="194" t="s">
        <v>46</v>
      </c>
      <c r="N59" s="194" t="s">
        <v>68</v>
      </c>
      <c r="O59" s="194" t="s">
        <v>34</v>
      </c>
      <c r="P59" s="194" t="s">
        <v>35</v>
      </c>
      <c r="Q59" s="194" t="s">
        <v>225</v>
      </c>
      <c r="R59" s="194" t="s">
        <v>509</v>
      </c>
      <c r="S59" s="194" t="s">
        <v>99</v>
      </c>
      <c r="T59" s="211">
        <v>1</v>
      </c>
      <c r="U59" s="212" t="str">
        <f t="shared" si="15"/>
        <v>Certificaciones remitidas</v>
      </c>
      <c r="V59" s="213">
        <f t="shared" si="15"/>
        <v>0</v>
      </c>
      <c r="W59" s="214" t="s">
        <v>117</v>
      </c>
      <c r="X59" s="216">
        <v>1</v>
      </c>
      <c r="Y59" s="214" t="s">
        <v>205</v>
      </c>
      <c r="Z59" s="210">
        <v>0</v>
      </c>
      <c r="AA59" s="196"/>
      <c r="AB59" s="196"/>
      <c r="AC59" s="204">
        <f t="shared" si="16"/>
        <v>0</v>
      </c>
      <c r="AD59" s="204" t="e">
        <f t="shared" si="17"/>
        <v>#DIV/0!</v>
      </c>
      <c r="AE59" s="204">
        <f t="shared" si="0"/>
        <v>0</v>
      </c>
      <c r="AF59" s="204" t="e">
        <f t="shared" si="1"/>
        <v>#DIV/0!</v>
      </c>
      <c r="AG59" s="216">
        <v>1</v>
      </c>
      <c r="AH59" s="214" t="s">
        <v>205</v>
      </c>
      <c r="AI59" s="210">
        <v>0</v>
      </c>
      <c r="AJ59" s="196"/>
      <c r="AK59" s="196"/>
      <c r="AL59" s="204">
        <f t="shared" si="18"/>
        <v>0</v>
      </c>
      <c r="AM59" s="204" t="e">
        <f t="shared" si="2"/>
        <v>#DIV/0!</v>
      </c>
      <c r="AN59" s="204">
        <f t="shared" si="3"/>
        <v>0</v>
      </c>
      <c r="AO59" s="204" t="e">
        <f t="shared" si="4"/>
        <v>#DIV/0!</v>
      </c>
      <c r="AP59" s="216">
        <v>1</v>
      </c>
      <c r="AQ59" s="214" t="s">
        <v>205</v>
      </c>
      <c r="AR59" s="210">
        <v>0</v>
      </c>
      <c r="AS59" s="196"/>
      <c r="AT59" s="196"/>
      <c r="AU59" s="204">
        <f t="shared" si="19"/>
        <v>0</v>
      </c>
      <c r="AV59" s="204" t="e">
        <f t="shared" si="20"/>
        <v>#DIV/0!</v>
      </c>
      <c r="AW59" s="204">
        <f t="shared" si="21"/>
        <v>0</v>
      </c>
      <c r="AX59" s="204" t="e">
        <f t="shared" si="22"/>
        <v>#DIV/0!</v>
      </c>
      <c r="AY59" s="216">
        <v>1</v>
      </c>
      <c r="AZ59" s="214" t="s">
        <v>205</v>
      </c>
      <c r="BA59" s="210">
        <v>0</v>
      </c>
      <c r="BB59" s="196"/>
      <c r="BC59" s="196"/>
      <c r="BD59" s="216">
        <f t="shared" si="23"/>
        <v>0</v>
      </c>
      <c r="BE59" s="216" t="e">
        <f t="shared" si="24"/>
        <v>#DIV/0!</v>
      </c>
      <c r="BF59" s="216">
        <f t="shared" si="25"/>
        <v>0</v>
      </c>
      <c r="BG59" s="216" t="e">
        <f t="shared" si="26"/>
        <v>#DIV/0!</v>
      </c>
      <c r="BH59" s="207">
        <f t="shared" si="7"/>
        <v>0</v>
      </c>
      <c r="BI59" s="207" t="str">
        <f t="shared" si="8"/>
        <v>No Prog ni Ejec</v>
      </c>
      <c r="BJ59" s="207">
        <f t="shared" si="9"/>
        <v>0</v>
      </c>
      <c r="BK59" s="207" t="str">
        <f t="shared" si="10"/>
        <v>No Prog ni Ejec</v>
      </c>
      <c r="BL59" s="207">
        <f t="shared" si="27"/>
        <v>0</v>
      </c>
      <c r="BM59" s="207" t="str">
        <f t="shared" si="28"/>
        <v>No Prog ni Ejec</v>
      </c>
      <c r="BN59" s="207">
        <f t="shared" si="11"/>
        <v>0</v>
      </c>
      <c r="BO59" s="207" t="str">
        <f t="shared" si="12"/>
        <v>No Prog ni Ejec</v>
      </c>
      <c r="BP59" s="206"/>
      <c r="BQ59" s="277">
        <v>1</v>
      </c>
      <c r="BR59" s="208">
        <f t="shared" si="14"/>
        <v>2.3333333333333335</v>
      </c>
      <c r="BS59" s="219" t="str">
        <f t="shared" si="29"/>
        <v>Certificaciones remitidas</v>
      </c>
      <c r="BT59" s="195">
        <f t="shared" si="13"/>
        <v>0</v>
      </c>
      <c r="BU59" s="196"/>
      <c r="BV59" s="196"/>
      <c r="BW59" s="196"/>
      <c r="BX59" s="196"/>
      <c r="BY59" s="196"/>
      <c r="BZ59" s="19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row>
    <row r="60" spans="1:235" s="154" customFormat="1" ht="71.25" x14ac:dyDescent="0.25">
      <c r="A60" s="197">
        <v>11400</v>
      </c>
      <c r="B60" s="194" t="s">
        <v>26</v>
      </c>
      <c r="C60" s="198" t="s">
        <v>239</v>
      </c>
      <c r="D60" s="194" t="s">
        <v>144</v>
      </c>
      <c r="E60" s="198" t="s">
        <v>499</v>
      </c>
      <c r="F60" s="194" t="s">
        <v>206</v>
      </c>
      <c r="G60" s="209" t="s">
        <v>123</v>
      </c>
      <c r="H60" s="216">
        <v>1</v>
      </c>
      <c r="I60" s="198" t="s">
        <v>500</v>
      </c>
      <c r="J60" s="194" t="s">
        <v>205</v>
      </c>
      <c r="K60" s="210">
        <v>0</v>
      </c>
      <c r="L60" s="211">
        <v>1</v>
      </c>
      <c r="M60" s="194" t="s">
        <v>46</v>
      </c>
      <c r="N60" s="194" t="s">
        <v>68</v>
      </c>
      <c r="O60" s="194" t="s">
        <v>34</v>
      </c>
      <c r="P60" s="194" t="s">
        <v>35</v>
      </c>
      <c r="Q60" s="194" t="s">
        <v>225</v>
      </c>
      <c r="R60" s="194" t="s">
        <v>509</v>
      </c>
      <c r="S60" s="194" t="s">
        <v>99</v>
      </c>
      <c r="T60" s="211">
        <v>1</v>
      </c>
      <c r="U60" s="212" t="str">
        <f t="shared" si="15"/>
        <v>Certificaciones remitidas</v>
      </c>
      <c r="V60" s="213">
        <f t="shared" si="15"/>
        <v>0</v>
      </c>
      <c r="W60" s="214" t="s">
        <v>117</v>
      </c>
      <c r="X60" s="216">
        <v>1</v>
      </c>
      <c r="Y60" s="214" t="s">
        <v>205</v>
      </c>
      <c r="Z60" s="210">
        <v>0</v>
      </c>
      <c r="AA60" s="196"/>
      <c r="AB60" s="196"/>
      <c r="AC60" s="204">
        <f t="shared" si="16"/>
        <v>0</v>
      </c>
      <c r="AD60" s="204" t="e">
        <f t="shared" si="17"/>
        <v>#DIV/0!</v>
      </c>
      <c r="AE60" s="204">
        <f t="shared" si="0"/>
        <v>0</v>
      </c>
      <c r="AF60" s="204" t="e">
        <f t="shared" si="1"/>
        <v>#DIV/0!</v>
      </c>
      <c r="AG60" s="216">
        <v>1</v>
      </c>
      <c r="AH60" s="214" t="s">
        <v>205</v>
      </c>
      <c r="AI60" s="210">
        <v>0</v>
      </c>
      <c r="AJ60" s="196"/>
      <c r="AK60" s="196"/>
      <c r="AL60" s="204">
        <f t="shared" si="18"/>
        <v>0</v>
      </c>
      <c r="AM60" s="204" t="e">
        <f t="shared" si="2"/>
        <v>#DIV/0!</v>
      </c>
      <c r="AN60" s="204">
        <f t="shared" si="3"/>
        <v>0</v>
      </c>
      <c r="AO60" s="204" t="e">
        <f t="shared" si="4"/>
        <v>#DIV/0!</v>
      </c>
      <c r="AP60" s="216">
        <v>1</v>
      </c>
      <c r="AQ60" s="214" t="s">
        <v>205</v>
      </c>
      <c r="AR60" s="210">
        <v>0</v>
      </c>
      <c r="AS60" s="196"/>
      <c r="AT60" s="196"/>
      <c r="AU60" s="204">
        <f t="shared" si="19"/>
        <v>0</v>
      </c>
      <c r="AV60" s="204" t="e">
        <f t="shared" si="20"/>
        <v>#DIV/0!</v>
      </c>
      <c r="AW60" s="204">
        <f t="shared" si="21"/>
        <v>0</v>
      </c>
      <c r="AX60" s="204" t="e">
        <f t="shared" si="22"/>
        <v>#DIV/0!</v>
      </c>
      <c r="AY60" s="216">
        <v>1</v>
      </c>
      <c r="AZ60" s="214" t="s">
        <v>205</v>
      </c>
      <c r="BA60" s="210">
        <v>0</v>
      </c>
      <c r="BB60" s="196"/>
      <c r="BC60" s="196"/>
      <c r="BD60" s="216">
        <f t="shared" si="23"/>
        <v>0</v>
      </c>
      <c r="BE60" s="216" t="e">
        <f t="shared" si="24"/>
        <v>#DIV/0!</v>
      </c>
      <c r="BF60" s="216">
        <f t="shared" si="25"/>
        <v>0</v>
      </c>
      <c r="BG60" s="216" t="e">
        <f t="shared" si="26"/>
        <v>#DIV/0!</v>
      </c>
      <c r="BH60" s="207">
        <f t="shared" si="7"/>
        <v>0</v>
      </c>
      <c r="BI60" s="207" t="str">
        <f t="shared" si="8"/>
        <v>No Prog ni Ejec</v>
      </c>
      <c r="BJ60" s="207">
        <f t="shared" si="9"/>
        <v>0</v>
      </c>
      <c r="BK60" s="207" t="str">
        <f t="shared" si="10"/>
        <v>No Prog ni Ejec</v>
      </c>
      <c r="BL60" s="207">
        <f t="shared" si="27"/>
        <v>0</v>
      </c>
      <c r="BM60" s="207" t="str">
        <f t="shared" si="28"/>
        <v>No Prog ni Ejec</v>
      </c>
      <c r="BN60" s="207">
        <f t="shared" si="11"/>
        <v>0</v>
      </c>
      <c r="BO60" s="207" t="str">
        <f t="shared" si="12"/>
        <v>No Prog ni Ejec</v>
      </c>
      <c r="BP60" s="206"/>
      <c r="BQ60" s="277">
        <v>1</v>
      </c>
      <c r="BR60" s="208">
        <f t="shared" si="14"/>
        <v>2.3333333333333335</v>
      </c>
      <c r="BS60" s="219" t="str">
        <f t="shared" si="29"/>
        <v>Certificaciones remitidas</v>
      </c>
      <c r="BT60" s="195">
        <f t="shared" si="13"/>
        <v>0</v>
      </c>
      <c r="BU60" s="196"/>
      <c r="BV60" s="196"/>
      <c r="BW60" s="196"/>
      <c r="BX60" s="196"/>
      <c r="BY60" s="196"/>
      <c r="BZ60" s="19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CZ60" s="146"/>
      <c r="DA60" s="146"/>
      <c r="DB60" s="146"/>
      <c r="DC60" s="146"/>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6"/>
      <c r="EC60" s="146"/>
      <c r="ED60" s="146"/>
      <c r="EE60" s="146"/>
      <c r="EF60" s="146"/>
      <c r="EG60" s="146"/>
      <c r="EH60" s="146"/>
      <c r="EI60" s="146"/>
      <c r="EJ60" s="146"/>
      <c r="EK60" s="146"/>
      <c r="EL60" s="146"/>
      <c r="EM60" s="146"/>
      <c r="EN60" s="146"/>
      <c r="EO60" s="146"/>
      <c r="EP60" s="146"/>
      <c r="EQ60" s="146"/>
      <c r="ER60" s="146"/>
      <c r="ES60" s="146"/>
      <c r="ET60" s="146"/>
      <c r="EU60" s="146"/>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6"/>
      <c r="GB60" s="146"/>
      <c r="GC60" s="146"/>
      <c r="GD60" s="146"/>
      <c r="GE60" s="146"/>
      <c r="GF60" s="146"/>
      <c r="GG60" s="146"/>
      <c r="GH60" s="146"/>
      <c r="GI60" s="146"/>
      <c r="GJ60" s="146"/>
      <c r="GK60" s="146"/>
      <c r="GL60" s="146"/>
      <c r="GM60" s="146"/>
      <c r="GN60" s="146"/>
      <c r="GO60" s="146"/>
      <c r="GP60" s="146"/>
      <c r="GQ60" s="146"/>
      <c r="GR60" s="146"/>
      <c r="GS60" s="146"/>
      <c r="GT60" s="146"/>
      <c r="GU60" s="146"/>
      <c r="GV60" s="146"/>
      <c r="GW60" s="146"/>
      <c r="GX60" s="146"/>
      <c r="GY60" s="146"/>
      <c r="GZ60" s="146"/>
      <c r="HA60" s="146"/>
      <c r="HB60" s="146"/>
      <c r="HC60" s="146"/>
      <c r="HD60" s="146"/>
      <c r="HE60" s="146"/>
      <c r="HF60" s="146"/>
      <c r="HG60" s="146"/>
      <c r="HH60" s="146"/>
      <c r="HI60" s="146"/>
      <c r="HJ60" s="146"/>
      <c r="HK60" s="146"/>
      <c r="HL60" s="146"/>
      <c r="HM60" s="146"/>
      <c r="HN60" s="146"/>
      <c r="HO60" s="146"/>
      <c r="HP60" s="146"/>
      <c r="HQ60" s="146"/>
      <c r="HR60" s="146"/>
      <c r="HS60" s="146"/>
      <c r="HT60" s="146"/>
      <c r="HU60" s="146"/>
      <c r="HV60" s="146"/>
      <c r="HW60" s="146"/>
      <c r="HX60" s="146"/>
      <c r="HY60" s="146"/>
      <c r="HZ60" s="146"/>
      <c r="IA60" s="146"/>
    </row>
    <row r="61" spans="1:235" s="154" customFormat="1" ht="71.25" x14ac:dyDescent="0.25">
      <c r="A61" s="197">
        <v>11400</v>
      </c>
      <c r="B61" s="194" t="s">
        <v>26</v>
      </c>
      <c r="C61" s="198" t="s">
        <v>240</v>
      </c>
      <c r="D61" s="194" t="s">
        <v>144</v>
      </c>
      <c r="E61" s="198" t="s">
        <v>501</v>
      </c>
      <c r="F61" s="194" t="s">
        <v>207</v>
      </c>
      <c r="G61" s="209" t="s">
        <v>123</v>
      </c>
      <c r="H61" s="216">
        <v>1</v>
      </c>
      <c r="I61" s="198" t="s">
        <v>502</v>
      </c>
      <c r="J61" s="194" t="s">
        <v>205</v>
      </c>
      <c r="K61" s="210">
        <v>0</v>
      </c>
      <c r="L61" s="211">
        <v>1</v>
      </c>
      <c r="M61" s="194" t="s">
        <v>46</v>
      </c>
      <c r="N61" s="194" t="s">
        <v>68</v>
      </c>
      <c r="O61" s="194" t="s">
        <v>34</v>
      </c>
      <c r="P61" s="194" t="s">
        <v>35</v>
      </c>
      <c r="Q61" s="194" t="s">
        <v>225</v>
      </c>
      <c r="R61" s="194" t="s">
        <v>509</v>
      </c>
      <c r="S61" s="194" t="s">
        <v>99</v>
      </c>
      <c r="T61" s="211">
        <v>1</v>
      </c>
      <c r="U61" s="212" t="str">
        <f t="shared" si="15"/>
        <v>Certificaciones remitidas</v>
      </c>
      <c r="V61" s="213">
        <f t="shared" si="15"/>
        <v>0</v>
      </c>
      <c r="W61" s="214" t="s">
        <v>117</v>
      </c>
      <c r="X61" s="216">
        <v>1</v>
      </c>
      <c r="Y61" s="214" t="s">
        <v>205</v>
      </c>
      <c r="Z61" s="210">
        <v>0</v>
      </c>
      <c r="AA61" s="196"/>
      <c r="AB61" s="196"/>
      <c r="AC61" s="204">
        <f t="shared" si="16"/>
        <v>0</v>
      </c>
      <c r="AD61" s="204" t="e">
        <f t="shared" si="17"/>
        <v>#DIV/0!</v>
      </c>
      <c r="AE61" s="204">
        <f t="shared" si="0"/>
        <v>0</v>
      </c>
      <c r="AF61" s="204" t="e">
        <f t="shared" si="1"/>
        <v>#DIV/0!</v>
      </c>
      <c r="AG61" s="216">
        <v>1</v>
      </c>
      <c r="AH61" s="214" t="s">
        <v>205</v>
      </c>
      <c r="AI61" s="210">
        <v>0</v>
      </c>
      <c r="AJ61" s="196"/>
      <c r="AK61" s="196"/>
      <c r="AL61" s="204">
        <f t="shared" si="18"/>
        <v>0</v>
      </c>
      <c r="AM61" s="204" t="e">
        <f t="shared" si="2"/>
        <v>#DIV/0!</v>
      </c>
      <c r="AN61" s="204">
        <f t="shared" si="3"/>
        <v>0</v>
      </c>
      <c r="AO61" s="204" t="e">
        <f t="shared" si="4"/>
        <v>#DIV/0!</v>
      </c>
      <c r="AP61" s="216">
        <v>1</v>
      </c>
      <c r="AQ61" s="214" t="s">
        <v>205</v>
      </c>
      <c r="AR61" s="210">
        <v>0</v>
      </c>
      <c r="AS61" s="196"/>
      <c r="AT61" s="196"/>
      <c r="AU61" s="204">
        <f t="shared" si="19"/>
        <v>0</v>
      </c>
      <c r="AV61" s="204" t="e">
        <f t="shared" si="20"/>
        <v>#DIV/0!</v>
      </c>
      <c r="AW61" s="204">
        <f t="shared" si="21"/>
        <v>0</v>
      </c>
      <c r="AX61" s="204" t="e">
        <f t="shared" si="22"/>
        <v>#DIV/0!</v>
      </c>
      <c r="AY61" s="216">
        <v>1</v>
      </c>
      <c r="AZ61" s="214" t="s">
        <v>205</v>
      </c>
      <c r="BA61" s="210">
        <v>0</v>
      </c>
      <c r="BB61" s="196"/>
      <c r="BC61" s="196"/>
      <c r="BD61" s="216">
        <f t="shared" si="23"/>
        <v>0</v>
      </c>
      <c r="BE61" s="216" t="e">
        <f t="shared" si="24"/>
        <v>#DIV/0!</v>
      </c>
      <c r="BF61" s="216">
        <f t="shared" si="25"/>
        <v>0</v>
      </c>
      <c r="BG61" s="216" t="e">
        <f t="shared" si="26"/>
        <v>#DIV/0!</v>
      </c>
      <c r="BH61" s="207">
        <f t="shared" si="7"/>
        <v>0</v>
      </c>
      <c r="BI61" s="207" t="str">
        <f t="shared" si="8"/>
        <v>No Prog ni Ejec</v>
      </c>
      <c r="BJ61" s="207">
        <f t="shared" si="9"/>
        <v>0</v>
      </c>
      <c r="BK61" s="207" t="str">
        <f t="shared" si="10"/>
        <v>No Prog ni Ejec</v>
      </c>
      <c r="BL61" s="207">
        <f t="shared" si="27"/>
        <v>0</v>
      </c>
      <c r="BM61" s="207" t="str">
        <f t="shared" si="28"/>
        <v>No Prog ni Ejec</v>
      </c>
      <c r="BN61" s="207">
        <f t="shared" si="11"/>
        <v>0</v>
      </c>
      <c r="BO61" s="207" t="str">
        <f t="shared" si="12"/>
        <v>No Prog ni Ejec</v>
      </c>
      <c r="BP61" s="206"/>
      <c r="BQ61" s="277">
        <v>1</v>
      </c>
      <c r="BR61" s="208">
        <f t="shared" si="14"/>
        <v>2.3333333333333335</v>
      </c>
      <c r="BS61" s="219" t="str">
        <f t="shared" si="29"/>
        <v>Certificaciones remitidas</v>
      </c>
      <c r="BT61" s="195">
        <f t="shared" si="13"/>
        <v>0</v>
      </c>
      <c r="BU61" s="196"/>
      <c r="BV61" s="196"/>
      <c r="BW61" s="196"/>
      <c r="BX61" s="196"/>
      <c r="BY61" s="196"/>
      <c r="BZ61" s="19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row>
    <row r="62" spans="1:235" s="154" customFormat="1" ht="71.25" x14ac:dyDescent="0.25">
      <c r="A62" s="197">
        <v>11400</v>
      </c>
      <c r="B62" s="194" t="s">
        <v>26</v>
      </c>
      <c r="C62" s="198" t="s">
        <v>241</v>
      </c>
      <c r="D62" s="194" t="s">
        <v>144</v>
      </c>
      <c r="E62" s="198" t="s">
        <v>503</v>
      </c>
      <c r="F62" s="194" t="s">
        <v>208</v>
      </c>
      <c r="G62" s="209" t="s">
        <v>123</v>
      </c>
      <c r="H62" s="216">
        <v>1</v>
      </c>
      <c r="I62" s="198" t="s">
        <v>504</v>
      </c>
      <c r="J62" s="194" t="s">
        <v>205</v>
      </c>
      <c r="K62" s="210">
        <v>0</v>
      </c>
      <c r="L62" s="211">
        <v>1</v>
      </c>
      <c r="M62" s="194" t="s">
        <v>46</v>
      </c>
      <c r="N62" s="194" t="s">
        <v>68</v>
      </c>
      <c r="O62" s="194" t="s">
        <v>34</v>
      </c>
      <c r="P62" s="194" t="s">
        <v>35</v>
      </c>
      <c r="Q62" s="194" t="s">
        <v>225</v>
      </c>
      <c r="R62" s="194" t="s">
        <v>509</v>
      </c>
      <c r="S62" s="194" t="s">
        <v>99</v>
      </c>
      <c r="T62" s="211">
        <v>1</v>
      </c>
      <c r="U62" s="212" t="str">
        <f t="shared" si="15"/>
        <v>Certificaciones remitidas</v>
      </c>
      <c r="V62" s="213">
        <f t="shared" si="15"/>
        <v>0</v>
      </c>
      <c r="W62" s="214" t="s">
        <v>117</v>
      </c>
      <c r="X62" s="216">
        <v>1</v>
      </c>
      <c r="Y62" s="214" t="s">
        <v>205</v>
      </c>
      <c r="Z62" s="210">
        <v>0</v>
      </c>
      <c r="AA62" s="196"/>
      <c r="AB62" s="196"/>
      <c r="AC62" s="204">
        <f t="shared" si="16"/>
        <v>0</v>
      </c>
      <c r="AD62" s="204" t="e">
        <f t="shared" si="17"/>
        <v>#DIV/0!</v>
      </c>
      <c r="AE62" s="204">
        <f t="shared" si="0"/>
        <v>0</v>
      </c>
      <c r="AF62" s="204" t="e">
        <f t="shared" si="1"/>
        <v>#DIV/0!</v>
      </c>
      <c r="AG62" s="216">
        <v>1</v>
      </c>
      <c r="AH62" s="214" t="s">
        <v>205</v>
      </c>
      <c r="AI62" s="210">
        <v>0</v>
      </c>
      <c r="AJ62" s="196"/>
      <c r="AK62" s="196"/>
      <c r="AL62" s="204">
        <f t="shared" si="18"/>
        <v>0</v>
      </c>
      <c r="AM62" s="204" t="e">
        <f t="shared" si="2"/>
        <v>#DIV/0!</v>
      </c>
      <c r="AN62" s="204">
        <f t="shared" si="3"/>
        <v>0</v>
      </c>
      <c r="AO62" s="204" t="e">
        <f t="shared" si="4"/>
        <v>#DIV/0!</v>
      </c>
      <c r="AP62" s="216">
        <v>1</v>
      </c>
      <c r="AQ62" s="214" t="s">
        <v>205</v>
      </c>
      <c r="AR62" s="210">
        <v>0</v>
      </c>
      <c r="AS62" s="196"/>
      <c r="AT62" s="196"/>
      <c r="AU62" s="204">
        <f t="shared" si="19"/>
        <v>0</v>
      </c>
      <c r="AV62" s="204" t="e">
        <f t="shared" si="20"/>
        <v>#DIV/0!</v>
      </c>
      <c r="AW62" s="204">
        <f t="shared" si="21"/>
        <v>0</v>
      </c>
      <c r="AX62" s="204" t="e">
        <f t="shared" si="22"/>
        <v>#DIV/0!</v>
      </c>
      <c r="AY62" s="216">
        <v>1</v>
      </c>
      <c r="AZ62" s="214" t="s">
        <v>205</v>
      </c>
      <c r="BA62" s="210">
        <v>0</v>
      </c>
      <c r="BB62" s="196"/>
      <c r="BC62" s="196"/>
      <c r="BD62" s="216">
        <f t="shared" si="23"/>
        <v>0</v>
      </c>
      <c r="BE62" s="216" t="e">
        <f t="shared" si="24"/>
        <v>#DIV/0!</v>
      </c>
      <c r="BF62" s="216">
        <f t="shared" si="25"/>
        <v>0</v>
      </c>
      <c r="BG62" s="216" t="e">
        <f t="shared" si="26"/>
        <v>#DIV/0!</v>
      </c>
      <c r="BH62" s="207">
        <f t="shared" si="7"/>
        <v>0</v>
      </c>
      <c r="BI62" s="207" t="str">
        <f t="shared" si="8"/>
        <v>No Prog ni Ejec</v>
      </c>
      <c r="BJ62" s="207">
        <f t="shared" si="9"/>
        <v>0</v>
      </c>
      <c r="BK62" s="207" t="str">
        <f t="shared" si="10"/>
        <v>No Prog ni Ejec</v>
      </c>
      <c r="BL62" s="207">
        <f t="shared" si="27"/>
        <v>0</v>
      </c>
      <c r="BM62" s="207" t="str">
        <f t="shared" si="28"/>
        <v>No Prog ni Ejec</v>
      </c>
      <c r="BN62" s="207">
        <f t="shared" si="11"/>
        <v>0</v>
      </c>
      <c r="BO62" s="207" t="str">
        <f t="shared" si="12"/>
        <v>No Prog ni Ejec</v>
      </c>
      <c r="BP62" s="206"/>
      <c r="BQ62" s="277">
        <v>1</v>
      </c>
      <c r="BR62" s="208">
        <f t="shared" si="14"/>
        <v>2.3333333333333335</v>
      </c>
      <c r="BS62" s="219" t="str">
        <f t="shared" si="29"/>
        <v>Certificaciones remitidas</v>
      </c>
      <c r="BT62" s="195">
        <f t="shared" si="13"/>
        <v>0</v>
      </c>
      <c r="BU62" s="196"/>
      <c r="BV62" s="196"/>
      <c r="BW62" s="196"/>
      <c r="BX62" s="196"/>
      <c r="BY62" s="196"/>
      <c r="BZ62" s="19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row>
    <row r="63" spans="1:235" s="155" customFormat="1" ht="71.25" x14ac:dyDescent="0.25">
      <c r="A63" s="197">
        <v>11400</v>
      </c>
      <c r="B63" s="194" t="s">
        <v>26</v>
      </c>
      <c r="C63" s="198" t="s">
        <v>242</v>
      </c>
      <c r="D63" s="194" t="s">
        <v>144</v>
      </c>
      <c r="E63" s="198" t="s">
        <v>505</v>
      </c>
      <c r="F63" s="194" t="s">
        <v>243</v>
      </c>
      <c r="G63" s="209" t="s">
        <v>124</v>
      </c>
      <c r="H63" s="198">
        <v>2</v>
      </c>
      <c r="I63" s="198" t="s">
        <v>506</v>
      </c>
      <c r="J63" s="194" t="s">
        <v>244</v>
      </c>
      <c r="K63" s="210">
        <v>55000000</v>
      </c>
      <c r="L63" s="211">
        <v>1</v>
      </c>
      <c r="M63" s="194" t="s">
        <v>46</v>
      </c>
      <c r="N63" s="194" t="s">
        <v>68</v>
      </c>
      <c r="O63" s="194" t="s">
        <v>34</v>
      </c>
      <c r="P63" s="194" t="s">
        <v>36</v>
      </c>
      <c r="Q63" s="194"/>
      <c r="R63" s="194" t="s">
        <v>510</v>
      </c>
      <c r="S63" s="194" t="s">
        <v>99</v>
      </c>
      <c r="T63" s="215">
        <v>2</v>
      </c>
      <c r="U63" s="212" t="str">
        <f t="shared" si="15"/>
        <v>Elaboración de Estudios del Sector</v>
      </c>
      <c r="V63" s="213">
        <f t="shared" si="15"/>
        <v>55000000</v>
      </c>
      <c r="W63" s="222" t="s">
        <v>114</v>
      </c>
      <c r="X63" s="215">
        <v>0</v>
      </c>
      <c r="Y63" s="214" t="s">
        <v>244</v>
      </c>
      <c r="Z63" s="210">
        <v>55000000</v>
      </c>
      <c r="AA63" s="196"/>
      <c r="AB63" s="196"/>
      <c r="AC63" s="204" t="e">
        <f t="shared" si="16"/>
        <v>#DIV/0!</v>
      </c>
      <c r="AD63" s="204">
        <f t="shared" si="17"/>
        <v>0</v>
      </c>
      <c r="AE63" s="204">
        <f t="shared" si="0"/>
        <v>0</v>
      </c>
      <c r="AF63" s="204">
        <f t="shared" si="1"/>
        <v>0</v>
      </c>
      <c r="AG63" s="215">
        <v>1</v>
      </c>
      <c r="AH63" s="214" t="s">
        <v>244</v>
      </c>
      <c r="AI63" s="210">
        <v>0</v>
      </c>
      <c r="AJ63" s="196"/>
      <c r="AK63" s="196"/>
      <c r="AL63" s="204">
        <f t="shared" si="18"/>
        <v>0</v>
      </c>
      <c r="AM63" s="204" t="e">
        <f t="shared" si="2"/>
        <v>#DIV/0!</v>
      </c>
      <c r="AN63" s="204">
        <f t="shared" si="3"/>
        <v>0</v>
      </c>
      <c r="AO63" s="204">
        <f t="shared" si="4"/>
        <v>0</v>
      </c>
      <c r="AP63" s="215">
        <v>0</v>
      </c>
      <c r="AQ63" s="214" t="s">
        <v>244</v>
      </c>
      <c r="AR63" s="210">
        <v>0</v>
      </c>
      <c r="AS63" s="196"/>
      <c r="AT63" s="196"/>
      <c r="AU63" s="204" t="e">
        <f t="shared" si="19"/>
        <v>#DIV/0!</v>
      </c>
      <c r="AV63" s="204" t="e">
        <f t="shared" si="20"/>
        <v>#DIV/0!</v>
      </c>
      <c r="AW63" s="204">
        <f t="shared" si="21"/>
        <v>0</v>
      </c>
      <c r="AX63" s="204">
        <f t="shared" si="22"/>
        <v>0</v>
      </c>
      <c r="AY63" s="215">
        <v>1</v>
      </c>
      <c r="AZ63" s="214" t="s">
        <v>244</v>
      </c>
      <c r="BA63" s="210">
        <v>0</v>
      </c>
      <c r="BB63" s="196"/>
      <c r="BC63" s="196"/>
      <c r="BD63" s="216">
        <f t="shared" si="23"/>
        <v>0</v>
      </c>
      <c r="BE63" s="216" t="e">
        <f t="shared" si="24"/>
        <v>#DIV/0!</v>
      </c>
      <c r="BF63" s="216">
        <f t="shared" si="25"/>
        <v>0</v>
      </c>
      <c r="BG63" s="216">
        <f t="shared" si="26"/>
        <v>0</v>
      </c>
      <c r="BH63" s="228" t="str">
        <f t="shared" si="7"/>
        <v>No Prog ni Ejec</v>
      </c>
      <c r="BI63" s="228">
        <f t="shared" si="8"/>
        <v>0</v>
      </c>
      <c r="BJ63" s="228">
        <f t="shared" si="9"/>
        <v>0</v>
      </c>
      <c r="BK63" s="228" t="str">
        <f t="shared" si="10"/>
        <v>No Prog ni Ejec</v>
      </c>
      <c r="BL63" s="228" t="str">
        <f t="shared" si="27"/>
        <v>No Prog ni Ejec</v>
      </c>
      <c r="BM63" s="228" t="str">
        <f t="shared" si="28"/>
        <v>No Prog ni Ejec</v>
      </c>
      <c r="BN63" s="228">
        <f t="shared" si="11"/>
        <v>0</v>
      </c>
      <c r="BO63" s="228" t="str">
        <f t="shared" si="12"/>
        <v>No Prog ni Ejec</v>
      </c>
      <c r="BP63" s="206"/>
      <c r="BQ63" s="277">
        <v>9</v>
      </c>
      <c r="BR63" s="218">
        <f t="shared" si="14"/>
        <v>1</v>
      </c>
      <c r="BS63" s="219" t="str">
        <f t="shared" si="29"/>
        <v>Elaboración de Estudios del Sector</v>
      </c>
      <c r="BT63" s="195">
        <f t="shared" si="13"/>
        <v>55000000</v>
      </c>
      <c r="BU63" s="196"/>
      <c r="BV63" s="196"/>
      <c r="BW63" s="196"/>
      <c r="BX63" s="196"/>
      <c r="BY63" s="196"/>
      <c r="BZ63" s="19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row>
    <row r="64" spans="1:235" s="153" customFormat="1" ht="57" x14ac:dyDescent="0.25">
      <c r="A64" s="197">
        <v>11500</v>
      </c>
      <c r="B64" s="194" t="s">
        <v>28</v>
      </c>
      <c r="C64" s="198" t="s">
        <v>259</v>
      </c>
      <c r="D64" s="194" t="s">
        <v>153</v>
      </c>
      <c r="E64" s="198" t="s">
        <v>290</v>
      </c>
      <c r="F64" s="194" t="s">
        <v>133</v>
      </c>
      <c r="G64" s="209" t="s">
        <v>124</v>
      </c>
      <c r="H64" s="198">
        <v>4</v>
      </c>
      <c r="I64" s="198" t="s">
        <v>276</v>
      </c>
      <c r="J64" s="194" t="s">
        <v>24</v>
      </c>
      <c r="K64" s="210">
        <v>0</v>
      </c>
      <c r="L64" s="211">
        <v>1</v>
      </c>
      <c r="M64" s="194" t="s">
        <v>51</v>
      </c>
      <c r="N64" s="194" t="s">
        <v>68</v>
      </c>
      <c r="O64" s="194" t="s">
        <v>21</v>
      </c>
      <c r="P64" s="194" t="s">
        <v>36</v>
      </c>
      <c r="Q64" s="194" t="s">
        <v>75</v>
      </c>
      <c r="R64" s="194" t="s">
        <v>631</v>
      </c>
      <c r="S64" s="194" t="s">
        <v>98</v>
      </c>
      <c r="T64" s="198">
        <v>4</v>
      </c>
      <c r="U64" s="212" t="str">
        <f t="shared" si="15"/>
        <v>Reportar el cumplimiento del Plan de Acción de la Dependencia</v>
      </c>
      <c r="V64" s="213">
        <f t="shared" si="15"/>
        <v>0</v>
      </c>
      <c r="W64" s="214" t="s">
        <v>117</v>
      </c>
      <c r="X64" s="215">
        <v>1</v>
      </c>
      <c r="Y64" s="214" t="s">
        <v>24</v>
      </c>
      <c r="Z64" s="210">
        <v>0</v>
      </c>
      <c r="AA64" s="196"/>
      <c r="AB64" s="196"/>
      <c r="AC64" s="204">
        <f t="shared" si="16"/>
        <v>0</v>
      </c>
      <c r="AD64" s="204" t="e">
        <f t="shared" si="17"/>
        <v>#DIV/0!</v>
      </c>
      <c r="AE64" s="204">
        <f t="shared" si="0"/>
        <v>0</v>
      </c>
      <c r="AF64" s="204" t="e">
        <f t="shared" si="1"/>
        <v>#DIV/0!</v>
      </c>
      <c r="AG64" s="215">
        <v>1</v>
      </c>
      <c r="AH64" s="214" t="s">
        <v>24</v>
      </c>
      <c r="AI64" s="210">
        <v>0</v>
      </c>
      <c r="AJ64" s="196"/>
      <c r="AK64" s="196"/>
      <c r="AL64" s="204">
        <f t="shared" si="18"/>
        <v>0</v>
      </c>
      <c r="AM64" s="204" t="e">
        <f t="shared" si="2"/>
        <v>#DIV/0!</v>
      </c>
      <c r="AN64" s="204">
        <f t="shared" si="3"/>
        <v>0</v>
      </c>
      <c r="AO64" s="204" t="e">
        <f t="shared" si="4"/>
        <v>#DIV/0!</v>
      </c>
      <c r="AP64" s="215">
        <v>1</v>
      </c>
      <c r="AQ64" s="214" t="s">
        <v>24</v>
      </c>
      <c r="AR64" s="210">
        <v>0</v>
      </c>
      <c r="AS64" s="196"/>
      <c r="AT64" s="196"/>
      <c r="AU64" s="204">
        <f t="shared" si="19"/>
        <v>0</v>
      </c>
      <c r="AV64" s="204" t="e">
        <f t="shared" si="20"/>
        <v>#DIV/0!</v>
      </c>
      <c r="AW64" s="204">
        <f t="shared" si="21"/>
        <v>0</v>
      </c>
      <c r="AX64" s="204" t="e">
        <f t="shared" si="22"/>
        <v>#DIV/0!</v>
      </c>
      <c r="AY64" s="215">
        <v>1</v>
      </c>
      <c r="AZ64" s="214" t="s">
        <v>24</v>
      </c>
      <c r="BA64" s="210">
        <v>0</v>
      </c>
      <c r="BB64" s="196"/>
      <c r="BC64" s="196"/>
      <c r="BD64" s="216">
        <f t="shared" si="23"/>
        <v>0</v>
      </c>
      <c r="BE64" s="216" t="e">
        <f t="shared" si="24"/>
        <v>#DIV/0!</v>
      </c>
      <c r="BF64" s="216">
        <f t="shared" si="25"/>
        <v>0</v>
      </c>
      <c r="BG64" s="216" t="e">
        <f t="shared" si="26"/>
        <v>#DIV/0!</v>
      </c>
      <c r="BH64" s="217">
        <f t="shared" si="7"/>
        <v>0</v>
      </c>
      <c r="BI64" s="217" t="str">
        <f t="shared" si="8"/>
        <v>No Prog ni Ejec</v>
      </c>
      <c r="BJ64" s="217">
        <f t="shared" si="9"/>
        <v>0</v>
      </c>
      <c r="BK64" s="217" t="str">
        <f t="shared" si="10"/>
        <v>No Prog ni Ejec</v>
      </c>
      <c r="BL64" s="217">
        <f t="shared" si="27"/>
        <v>0</v>
      </c>
      <c r="BM64" s="217" t="str">
        <f t="shared" si="28"/>
        <v>No Prog ni Ejec</v>
      </c>
      <c r="BN64" s="217">
        <f t="shared" si="11"/>
        <v>0</v>
      </c>
      <c r="BO64" s="217" t="str">
        <f t="shared" si="12"/>
        <v>No Prog ni Ejec</v>
      </c>
      <c r="BP64" s="206"/>
      <c r="BQ64" s="277">
        <v>5</v>
      </c>
      <c r="BR64" s="218">
        <f t="shared" si="14"/>
        <v>2.3333333333333335</v>
      </c>
      <c r="BS64" s="219" t="str">
        <f t="shared" si="29"/>
        <v>Reportar el cumplimiento del Plan de Acción de la Dependencia</v>
      </c>
      <c r="BT64" s="195">
        <f t="shared" si="13"/>
        <v>0</v>
      </c>
      <c r="BU64" s="196"/>
      <c r="BV64" s="196"/>
      <c r="BW64" s="196"/>
      <c r="BX64" s="196"/>
      <c r="BY64" s="196"/>
      <c r="BZ64" s="19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6"/>
      <c r="GB64" s="146"/>
      <c r="GC64" s="146"/>
      <c r="GD64" s="146"/>
      <c r="GE64" s="146"/>
      <c r="GF64" s="146"/>
      <c r="GG64" s="146"/>
      <c r="GH64" s="146"/>
      <c r="GI64" s="146"/>
      <c r="GJ64" s="146"/>
      <c r="GK64" s="146"/>
      <c r="GL64" s="146"/>
      <c r="GM64" s="146"/>
      <c r="GN64" s="146"/>
      <c r="GO64" s="146"/>
      <c r="GP64" s="146"/>
      <c r="GQ64" s="146"/>
      <c r="GR64" s="146"/>
      <c r="GS64" s="146"/>
      <c r="GT64" s="146"/>
      <c r="GU64" s="146"/>
      <c r="GV64" s="146"/>
      <c r="GW64" s="146"/>
      <c r="GX64" s="146"/>
      <c r="GY64" s="146"/>
      <c r="GZ64" s="146"/>
      <c r="HA64" s="146"/>
      <c r="HB64" s="146"/>
      <c r="HC64" s="146"/>
      <c r="HD64" s="146"/>
      <c r="HE64" s="146"/>
      <c r="HF64" s="146"/>
      <c r="HG64" s="146"/>
      <c r="HH64" s="146"/>
      <c r="HI64" s="146"/>
      <c r="HJ64" s="146"/>
      <c r="HK64" s="146"/>
      <c r="HL64" s="146"/>
      <c r="HM64" s="146"/>
      <c r="HN64" s="146"/>
      <c r="HO64" s="146"/>
      <c r="HP64" s="146"/>
      <c r="HQ64" s="146"/>
      <c r="HR64" s="146"/>
      <c r="HS64" s="146"/>
      <c r="HT64" s="146"/>
      <c r="HU64" s="146"/>
      <c r="HV64" s="146"/>
      <c r="HW64" s="146"/>
      <c r="HX64" s="146"/>
      <c r="HY64" s="146"/>
      <c r="HZ64" s="146"/>
      <c r="IA64" s="146"/>
    </row>
    <row r="65" spans="1:235" s="153" customFormat="1" ht="99.75" x14ac:dyDescent="0.25">
      <c r="A65" s="197">
        <v>11500</v>
      </c>
      <c r="B65" s="194" t="s">
        <v>28</v>
      </c>
      <c r="C65" s="198" t="s">
        <v>260</v>
      </c>
      <c r="D65" s="194" t="s">
        <v>256</v>
      </c>
      <c r="E65" s="198" t="s">
        <v>261</v>
      </c>
      <c r="F65" s="194" t="s">
        <v>159</v>
      </c>
      <c r="G65" s="209" t="s">
        <v>123</v>
      </c>
      <c r="H65" s="216">
        <v>1</v>
      </c>
      <c r="I65" s="198" t="s">
        <v>274</v>
      </c>
      <c r="J65" s="194" t="s">
        <v>598</v>
      </c>
      <c r="K65" s="210">
        <v>0</v>
      </c>
      <c r="L65" s="211">
        <v>1</v>
      </c>
      <c r="M65" s="194" t="s">
        <v>51</v>
      </c>
      <c r="N65" s="194" t="s">
        <v>68</v>
      </c>
      <c r="O65" s="194" t="s">
        <v>21</v>
      </c>
      <c r="P65" s="194" t="s">
        <v>36</v>
      </c>
      <c r="Q65" s="194" t="s">
        <v>75</v>
      </c>
      <c r="R65" s="194" t="s">
        <v>672</v>
      </c>
      <c r="S65" s="194" t="s">
        <v>98</v>
      </c>
      <c r="T65" s="211">
        <v>1</v>
      </c>
      <c r="U65" s="212" t="str">
        <f t="shared" si="15"/>
        <v>Formular los procesos y procedimientos en el marco del MIPG</v>
      </c>
      <c r="V65" s="213">
        <f t="shared" si="15"/>
        <v>0</v>
      </c>
      <c r="W65" s="214" t="s">
        <v>117</v>
      </c>
      <c r="X65" s="216">
        <v>0.25</v>
      </c>
      <c r="Y65" s="214" t="s">
        <v>598</v>
      </c>
      <c r="Z65" s="210">
        <v>0</v>
      </c>
      <c r="AA65" s="196"/>
      <c r="AB65" s="196"/>
      <c r="AC65" s="204">
        <f t="shared" si="16"/>
        <v>0</v>
      </c>
      <c r="AD65" s="204" t="e">
        <f t="shared" si="17"/>
        <v>#DIV/0!</v>
      </c>
      <c r="AE65" s="204">
        <f t="shared" si="0"/>
        <v>0</v>
      </c>
      <c r="AF65" s="204" t="e">
        <f t="shared" si="1"/>
        <v>#DIV/0!</v>
      </c>
      <c r="AG65" s="216">
        <v>0.25</v>
      </c>
      <c r="AH65" s="214" t="s">
        <v>598</v>
      </c>
      <c r="AI65" s="210">
        <v>0</v>
      </c>
      <c r="AJ65" s="196"/>
      <c r="AK65" s="196"/>
      <c r="AL65" s="204">
        <f t="shared" si="18"/>
        <v>0</v>
      </c>
      <c r="AM65" s="204" t="e">
        <f t="shared" si="2"/>
        <v>#DIV/0!</v>
      </c>
      <c r="AN65" s="204">
        <f t="shared" si="3"/>
        <v>0</v>
      </c>
      <c r="AO65" s="204" t="e">
        <f t="shared" si="4"/>
        <v>#DIV/0!</v>
      </c>
      <c r="AP65" s="216">
        <v>0.25</v>
      </c>
      <c r="AQ65" s="214" t="s">
        <v>598</v>
      </c>
      <c r="AR65" s="210">
        <v>0</v>
      </c>
      <c r="AS65" s="196"/>
      <c r="AT65" s="196"/>
      <c r="AU65" s="204">
        <f t="shared" si="19"/>
        <v>0</v>
      </c>
      <c r="AV65" s="204" t="e">
        <f t="shared" si="20"/>
        <v>#DIV/0!</v>
      </c>
      <c r="AW65" s="204">
        <f t="shared" si="21"/>
        <v>0</v>
      </c>
      <c r="AX65" s="204" t="e">
        <f t="shared" si="22"/>
        <v>#DIV/0!</v>
      </c>
      <c r="AY65" s="216">
        <v>0.25</v>
      </c>
      <c r="AZ65" s="214" t="s">
        <v>598</v>
      </c>
      <c r="BA65" s="210">
        <v>0</v>
      </c>
      <c r="BB65" s="196"/>
      <c r="BC65" s="196"/>
      <c r="BD65" s="216">
        <f t="shared" si="23"/>
        <v>0</v>
      </c>
      <c r="BE65" s="216" t="e">
        <f t="shared" si="24"/>
        <v>#DIV/0!</v>
      </c>
      <c r="BF65" s="216">
        <f t="shared" si="25"/>
        <v>0</v>
      </c>
      <c r="BG65" s="216" t="e">
        <f t="shared" si="26"/>
        <v>#DIV/0!</v>
      </c>
      <c r="BH65" s="217">
        <f t="shared" si="7"/>
        <v>0</v>
      </c>
      <c r="BI65" s="217" t="str">
        <f t="shared" si="8"/>
        <v>No Prog ni Ejec</v>
      </c>
      <c r="BJ65" s="217">
        <f t="shared" si="9"/>
        <v>0</v>
      </c>
      <c r="BK65" s="217" t="str">
        <f t="shared" si="10"/>
        <v>No Prog ni Ejec</v>
      </c>
      <c r="BL65" s="217">
        <f t="shared" si="27"/>
        <v>0</v>
      </c>
      <c r="BM65" s="217" t="str">
        <f t="shared" si="28"/>
        <v>No Prog ni Ejec</v>
      </c>
      <c r="BN65" s="217">
        <f t="shared" si="11"/>
        <v>0</v>
      </c>
      <c r="BO65" s="217" t="str">
        <f t="shared" si="12"/>
        <v>No Prog ni Ejec</v>
      </c>
      <c r="BP65" s="206"/>
      <c r="BQ65" s="277">
        <v>5</v>
      </c>
      <c r="BR65" s="208">
        <f t="shared" si="14"/>
        <v>0.58333333333333337</v>
      </c>
      <c r="BS65" s="219" t="str">
        <f t="shared" si="29"/>
        <v>Formular los procesos y procedimientos en el marco del MIPG</v>
      </c>
      <c r="BT65" s="195">
        <f t="shared" si="13"/>
        <v>0</v>
      </c>
      <c r="BU65" s="196"/>
      <c r="BV65" s="196"/>
      <c r="BW65" s="196"/>
      <c r="BX65" s="196"/>
      <c r="BY65" s="196"/>
      <c r="BZ65" s="19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c r="HS65" s="146"/>
      <c r="HT65" s="146"/>
      <c r="HU65" s="146"/>
      <c r="HV65" s="146"/>
      <c r="HW65" s="146"/>
      <c r="HX65" s="146"/>
      <c r="HY65" s="146"/>
      <c r="HZ65" s="146"/>
      <c r="IA65" s="146"/>
    </row>
    <row r="66" spans="1:235" s="153" customFormat="1" ht="99.75" x14ac:dyDescent="0.25">
      <c r="A66" s="197">
        <v>11500</v>
      </c>
      <c r="B66" s="194" t="s">
        <v>28</v>
      </c>
      <c r="C66" s="198" t="s">
        <v>260</v>
      </c>
      <c r="D66" s="194" t="s">
        <v>256</v>
      </c>
      <c r="E66" s="198" t="s">
        <v>262</v>
      </c>
      <c r="F66" s="194" t="s">
        <v>127</v>
      </c>
      <c r="G66" s="199" t="s">
        <v>123</v>
      </c>
      <c r="H66" s="226">
        <v>1</v>
      </c>
      <c r="I66" s="198" t="s">
        <v>275</v>
      </c>
      <c r="J66" s="194" t="s">
        <v>599</v>
      </c>
      <c r="K66" s="210">
        <v>0</v>
      </c>
      <c r="L66" s="211">
        <v>1</v>
      </c>
      <c r="M66" s="194" t="s">
        <v>51</v>
      </c>
      <c r="N66" s="194" t="s">
        <v>68</v>
      </c>
      <c r="O66" s="194" t="s">
        <v>21</v>
      </c>
      <c r="P66" s="194" t="s">
        <v>36</v>
      </c>
      <c r="Q66" s="194" t="s">
        <v>75</v>
      </c>
      <c r="R66" s="194" t="s">
        <v>570</v>
      </c>
      <c r="S66" s="194" t="s">
        <v>98</v>
      </c>
      <c r="T66" s="211">
        <v>1</v>
      </c>
      <c r="U66" s="212" t="str">
        <f t="shared" si="15"/>
        <v>Remitir informe trimestral de los indicadores formulados y las acciones de mejoras</v>
      </c>
      <c r="V66" s="213">
        <f t="shared" si="15"/>
        <v>0</v>
      </c>
      <c r="W66" s="214" t="s">
        <v>117</v>
      </c>
      <c r="X66" s="216">
        <v>0</v>
      </c>
      <c r="Y66" s="214" t="s">
        <v>599</v>
      </c>
      <c r="Z66" s="210">
        <v>0</v>
      </c>
      <c r="AA66" s="196"/>
      <c r="AB66" s="196"/>
      <c r="AC66" s="204" t="e">
        <f t="shared" si="16"/>
        <v>#DIV/0!</v>
      </c>
      <c r="AD66" s="204" t="e">
        <f t="shared" si="17"/>
        <v>#DIV/0!</v>
      </c>
      <c r="AE66" s="204">
        <f t="shared" si="0"/>
        <v>0</v>
      </c>
      <c r="AF66" s="204" t="e">
        <f t="shared" si="1"/>
        <v>#DIV/0!</v>
      </c>
      <c r="AG66" s="216">
        <v>0</v>
      </c>
      <c r="AH66" s="214" t="s">
        <v>599</v>
      </c>
      <c r="AI66" s="210">
        <v>0</v>
      </c>
      <c r="AJ66" s="196"/>
      <c r="AK66" s="196"/>
      <c r="AL66" s="204" t="e">
        <f t="shared" si="18"/>
        <v>#DIV/0!</v>
      </c>
      <c r="AM66" s="204" t="e">
        <f t="shared" si="2"/>
        <v>#DIV/0!</v>
      </c>
      <c r="AN66" s="204">
        <f t="shared" si="3"/>
        <v>0</v>
      </c>
      <c r="AO66" s="204" t="e">
        <f t="shared" si="4"/>
        <v>#DIV/0!</v>
      </c>
      <c r="AP66" s="216">
        <v>0</v>
      </c>
      <c r="AQ66" s="214" t="s">
        <v>599</v>
      </c>
      <c r="AR66" s="210">
        <v>0</v>
      </c>
      <c r="AS66" s="196"/>
      <c r="AT66" s="196"/>
      <c r="AU66" s="204" t="e">
        <f t="shared" si="19"/>
        <v>#DIV/0!</v>
      </c>
      <c r="AV66" s="204" t="e">
        <f t="shared" si="20"/>
        <v>#DIV/0!</v>
      </c>
      <c r="AW66" s="204">
        <f t="shared" si="21"/>
        <v>0</v>
      </c>
      <c r="AX66" s="204" t="e">
        <f t="shared" si="22"/>
        <v>#DIV/0!</v>
      </c>
      <c r="AY66" s="216">
        <v>1</v>
      </c>
      <c r="AZ66" s="214" t="s">
        <v>599</v>
      </c>
      <c r="BA66" s="210">
        <v>0</v>
      </c>
      <c r="BB66" s="196"/>
      <c r="BC66" s="196"/>
      <c r="BD66" s="216">
        <f t="shared" si="23"/>
        <v>0</v>
      </c>
      <c r="BE66" s="216" t="e">
        <f t="shared" si="24"/>
        <v>#DIV/0!</v>
      </c>
      <c r="BF66" s="216">
        <f t="shared" si="25"/>
        <v>0</v>
      </c>
      <c r="BG66" s="216" t="e">
        <f t="shared" si="26"/>
        <v>#DIV/0!</v>
      </c>
      <c r="BH66" s="217" t="str">
        <f t="shared" si="7"/>
        <v>No Prog ni Ejec</v>
      </c>
      <c r="BI66" s="217" t="str">
        <f t="shared" si="8"/>
        <v>No Prog ni Ejec</v>
      </c>
      <c r="BJ66" s="217" t="str">
        <f t="shared" si="9"/>
        <v>No Prog ni Ejec</v>
      </c>
      <c r="BK66" s="217" t="str">
        <f t="shared" si="10"/>
        <v>No Prog ni Ejec</v>
      </c>
      <c r="BL66" s="217" t="str">
        <f t="shared" si="27"/>
        <v>No Prog ni Ejec</v>
      </c>
      <c r="BM66" s="217" t="str">
        <f t="shared" si="28"/>
        <v>No Prog ni Ejec</v>
      </c>
      <c r="BN66" s="217">
        <f t="shared" si="11"/>
        <v>0</v>
      </c>
      <c r="BO66" s="217" t="str">
        <f t="shared" si="12"/>
        <v>No Prog ni Ejec</v>
      </c>
      <c r="BP66" s="206"/>
      <c r="BQ66" s="277">
        <v>5</v>
      </c>
      <c r="BR66" s="208">
        <f t="shared" si="14"/>
        <v>0</v>
      </c>
      <c r="BS66" s="219" t="str">
        <f t="shared" si="29"/>
        <v>Remitir informe trimestral de los indicadores formulados y las acciones de mejoras</v>
      </c>
      <c r="BT66" s="195">
        <f t="shared" si="13"/>
        <v>0</v>
      </c>
      <c r="BU66" s="196"/>
      <c r="BV66" s="196"/>
      <c r="BW66" s="196"/>
      <c r="BX66" s="196"/>
      <c r="BY66" s="196"/>
      <c r="BZ66" s="19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row>
    <row r="67" spans="1:235" s="159" customFormat="1" ht="71.25" x14ac:dyDescent="0.25">
      <c r="A67" s="197">
        <v>11500</v>
      </c>
      <c r="B67" s="194" t="s">
        <v>28</v>
      </c>
      <c r="C67" s="198" t="s">
        <v>263</v>
      </c>
      <c r="D67" s="194" t="s">
        <v>144</v>
      </c>
      <c r="E67" s="198" t="s">
        <v>264</v>
      </c>
      <c r="F67" s="194" t="s">
        <v>600</v>
      </c>
      <c r="G67" s="209" t="s">
        <v>124</v>
      </c>
      <c r="H67" s="198">
        <v>12</v>
      </c>
      <c r="I67" s="198" t="s">
        <v>265</v>
      </c>
      <c r="J67" s="194" t="s">
        <v>601</v>
      </c>
      <c r="K67" s="210">
        <v>36720000</v>
      </c>
      <c r="L67" s="211">
        <v>1</v>
      </c>
      <c r="M67" s="194" t="s">
        <v>46</v>
      </c>
      <c r="N67" s="194" t="s">
        <v>68</v>
      </c>
      <c r="O67" s="194" t="s">
        <v>21</v>
      </c>
      <c r="P67" s="194" t="s">
        <v>36</v>
      </c>
      <c r="Q67" s="194" t="s">
        <v>211</v>
      </c>
      <c r="R67" s="194" t="s">
        <v>673</v>
      </c>
      <c r="S67" s="194" t="s">
        <v>98</v>
      </c>
      <c r="T67" s="221">
        <v>12</v>
      </c>
      <c r="U67" s="212" t="str">
        <f t="shared" si="15"/>
        <v>Realizar el giro previo efectuados a favor de las entidades recobrantes y proveedores de servicios y tecnologías no incluidas en el PB con cargo a la UPC</v>
      </c>
      <c r="V67" s="213">
        <f t="shared" si="15"/>
        <v>36720000</v>
      </c>
      <c r="W67" s="222" t="s">
        <v>114</v>
      </c>
      <c r="X67" s="284">
        <v>3</v>
      </c>
      <c r="Y67" s="282" t="s">
        <v>601</v>
      </c>
      <c r="Z67" s="283">
        <f>+V67*0.25</f>
        <v>9180000</v>
      </c>
      <c r="AA67" s="279"/>
      <c r="AB67" s="279"/>
      <c r="AC67" s="280">
        <f t="shared" si="16"/>
        <v>0</v>
      </c>
      <c r="AD67" s="280">
        <f t="shared" si="17"/>
        <v>0</v>
      </c>
      <c r="AE67" s="280">
        <f t="shared" si="0"/>
        <v>0</v>
      </c>
      <c r="AF67" s="280">
        <f t="shared" si="1"/>
        <v>0</v>
      </c>
      <c r="AG67" s="284">
        <v>3</v>
      </c>
      <c r="AH67" s="282" t="s">
        <v>601</v>
      </c>
      <c r="AI67" s="283">
        <v>9180000</v>
      </c>
      <c r="AJ67" s="279"/>
      <c r="AK67" s="279"/>
      <c r="AL67" s="280">
        <f t="shared" si="18"/>
        <v>0</v>
      </c>
      <c r="AM67" s="280">
        <f t="shared" si="2"/>
        <v>0</v>
      </c>
      <c r="AN67" s="280">
        <f t="shared" si="3"/>
        <v>0</v>
      </c>
      <c r="AO67" s="280">
        <f t="shared" si="4"/>
        <v>0</v>
      </c>
      <c r="AP67" s="284">
        <v>3</v>
      </c>
      <c r="AQ67" s="282" t="s">
        <v>601</v>
      </c>
      <c r="AR67" s="283">
        <v>9180000</v>
      </c>
      <c r="AS67" s="279"/>
      <c r="AT67" s="279"/>
      <c r="AU67" s="280">
        <f t="shared" si="19"/>
        <v>0</v>
      </c>
      <c r="AV67" s="280">
        <f t="shared" si="20"/>
        <v>0</v>
      </c>
      <c r="AW67" s="280">
        <f t="shared" si="21"/>
        <v>0</v>
      </c>
      <c r="AX67" s="280">
        <f t="shared" si="22"/>
        <v>0</v>
      </c>
      <c r="AY67" s="284">
        <v>3</v>
      </c>
      <c r="AZ67" s="282" t="s">
        <v>601</v>
      </c>
      <c r="BA67" s="283">
        <v>9180000</v>
      </c>
      <c r="BB67" s="279"/>
      <c r="BC67" s="279"/>
      <c r="BD67" s="281">
        <f t="shared" si="23"/>
        <v>0</v>
      </c>
      <c r="BE67" s="281">
        <f t="shared" si="24"/>
        <v>0</v>
      </c>
      <c r="BF67" s="281">
        <f t="shared" si="25"/>
        <v>0</v>
      </c>
      <c r="BG67" s="281">
        <f t="shared" si="26"/>
        <v>0</v>
      </c>
      <c r="BH67" s="205">
        <f t="shared" si="7"/>
        <v>0</v>
      </c>
      <c r="BI67" s="205">
        <f t="shared" si="8"/>
        <v>0</v>
      </c>
      <c r="BJ67" s="205">
        <f t="shared" si="9"/>
        <v>0</v>
      </c>
      <c r="BK67" s="205">
        <f t="shared" si="10"/>
        <v>0</v>
      </c>
      <c r="BL67" s="205">
        <f t="shared" si="27"/>
        <v>0</v>
      </c>
      <c r="BM67" s="205">
        <f t="shared" si="28"/>
        <v>0</v>
      </c>
      <c r="BN67" s="205">
        <f t="shared" si="11"/>
        <v>0</v>
      </c>
      <c r="BO67" s="205">
        <f t="shared" si="12"/>
        <v>0</v>
      </c>
      <c r="BP67" s="206" t="s">
        <v>717</v>
      </c>
      <c r="BQ67" s="277">
        <v>10</v>
      </c>
      <c r="BR67" s="218">
        <f t="shared" si="14"/>
        <v>7</v>
      </c>
      <c r="BS67" s="219" t="str">
        <f t="shared" si="29"/>
        <v>Realizar el giro previo efectuados a favor de las entidades recobrantes y proveedores de servicios y tecnologías no incluidas en el PB con cargo a la UPC</v>
      </c>
      <c r="BT67" s="195">
        <f t="shared" si="13"/>
        <v>21420000</v>
      </c>
      <c r="BU67" s="196"/>
      <c r="BV67" s="196"/>
      <c r="BW67" s="196"/>
      <c r="BX67" s="196"/>
      <c r="BY67" s="196"/>
      <c r="BZ67" s="19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row>
    <row r="68" spans="1:235" s="159" customFormat="1" ht="99.75" x14ac:dyDescent="0.25">
      <c r="A68" s="197">
        <v>11500</v>
      </c>
      <c r="B68" s="194" t="s">
        <v>28</v>
      </c>
      <c r="C68" s="198" t="s">
        <v>263</v>
      </c>
      <c r="D68" s="194" t="s">
        <v>144</v>
      </c>
      <c r="E68" s="198" t="s">
        <v>529</v>
      </c>
      <c r="F68" s="194" t="s">
        <v>602</v>
      </c>
      <c r="G68" s="209" t="s">
        <v>123</v>
      </c>
      <c r="H68" s="216">
        <v>1</v>
      </c>
      <c r="I68" s="198" t="s">
        <v>530</v>
      </c>
      <c r="J68" s="194" t="s">
        <v>603</v>
      </c>
      <c r="K68" s="210">
        <v>33371192463</v>
      </c>
      <c r="L68" s="211">
        <v>1</v>
      </c>
      <c r="M68" s="194" t="s">
        <v>46</v>
      </c>
      <c r="N68" s="194" t="s">
        <v>68</v>
      </c>
      <c r="O68" s="194" t="s">
        <v>21</v>
      </c>
      <c r="P68" s="194" t="s">
        <v>36</v>
      </c>
      <c r="Q68" s="194" t="s">
        <v>211</v>
      </c>
      <c r="R68" s="194" t="s">
        <v>674</v>
      </c>
      <c r="S68" s="194" t="s">
        <v>98</v>
      </c>
      <c r="T68" s="211">
        <v>1</v>
      </c>
      <c r="U68" s="212" t="str">
        <f t="shared" si="15"/>
        <v>Paquetes de recobros cuyo trámite de auditoría haya culminado, para el trámite de reconocimiento y pago por parte de ADRES.</v>
      </c>
      <c r="V68" s="213">
        <f t="shared" si="15"/>
        <v>33371192463</v>
      </c>
      <c r="W68" s="222" t="s">
        <v>114</v>
      </c>
      <c r="X68" s="281">
        <v>0.25</v>
      </c>
      <c r="Y68" s="282" t="s">
        <v>603</v>
      </c>
      <c r="Z68" s="283">
        <f>+V68*X68</f>
        <v>8342798115.75</v>
      </c>
      <c r="AA68" s="279"/>
      <c r="AB68" s="279"/>
      <c r="AC68" s="280">
        <f t="shared" si="16"/>
        <v>0</v>
      </c>
      <c r="AD68" s="280">
        <f t="shared" si="17"/>
        <v>0</v>
      </c>
      <c r="AE68" s="280">
        <f t="shared" si="0"/>
        <v>0</v>
      </c>
      <c r="AF68" s="280">
        <f t="shared" si="1"/>
        <v>0</v>
      </c>
      <c r="AG68" s="281">
        <v>0.25</v>
      </c>
      <c r="AH68" s="282" t="s">
        <v>603</v>
      </c>
      <c r="AI68" s="283">
        <v>8342798115.75</v>
      </c>
      <c r="AJ68" s="279"/>
      <c r="AK68" s="279"/>
      <c r="AL68" s="280">
        <f t="shared" si="18"/>
        <v>0</v>
      </c>
      <c r="AM68" s="280">
        <f t="shared" si="2"/>
        <v>0</v>
      </c>
      <c r="AN68" s="280">
        <f t="shared" si="3"/>
        <v>0</v>
      </c>
      <c r="AO68" s="280">
        <f t="shared" si="4"/>
        <v>0</v>
      </c>
      <c r="AP68" s="281">
        <v>0.25</v>
      </c>
      <c r="AQ68" s="282" t="s">
        <v>603</v>
      </c>
      <c r="AR68" s="283">
        <v>8342798115.75</v>
      </c>
      <c r="AS68" s="279"/>
      <c r="AT68" s="279"/>
      <c r="AU68" s="280">
        <f t="shared" si="19"/>
        <v>0</v>
      </c>
      <c r="AV68" s="280">
        <f t="shared" si="20"/>
        <v>0</v>
      </c>
      <c r="AW68" s="280">
        <f t="shared" si="21"/>
        <v>0</v>
      </c>
      <c r="AX68" s="280">
        <f t="shared" si="22"/>
        <v>0</v>
      </c>
      <c r="AY68" s="281">
        <v>0.25</v>
      </c>
      <c r="AZ68" s="282" t="s">
        <v>603</v>
      </c>
      <c r="BA68" s="283">
        <v>8342798115.75</v>
      </c>
      <c r="BB68" s="279"/>
      <c r="BC68" s="279"/>
      <c r="BD68" s="281">
        <f t="shared" si="23"/>
        <v>0</v>
      </c>
      <c r="BE68" s="281">
        <f t="shared" si="24"/>
        <v>0</v>
      </c>
      <c r="BF68" s="281">
        <f t="shared" si="25"/>
        <v>0</v>
      </c>
      <c r="BG68" s="281">
        <f t="shared" si="26"/>
        <v>0</v>
      </c>
      <c r="BH68" s="205">
        <f t="shared" si="7"/>
        <v>0</v>
      </c>
      <c r="BI68" s="205">
        <f t="shared" si="8"/>
        <v>0</v>
      </c>
      <c r="BJ68" s="205">
        <f t="shared" si="9"/>
        <v>0</v>
      </c>
      <c r="BK68" s="205">
        <f t="shared" si="10"/>
        <v>0</v>
      </c>
      <c r="BL68" s="205">
        <f t="shared" si="27"/>
        <v>0</v>
      </c>
      <c r="BM68" s="205">
        <f t="shared" si="28"/>
        <v>0</v>
      </c>
      <c r="BN68" s="205">
        <f t="shared" si="11"/>
        <v>0</v>
      </c>
      <c r="BO68" s="205">
        <f t="shared" si="12"/>
        <v>0</v>
      </c>
      <c r="BP68" s="206" t="s">
        <v>717</v>
      </c>
      <c r="BQ68" s="277">
        <v>10</v>
      </c>
      <c r="BR68" s="208">
        <f t="shared" si="14"/>
        <v>0.58333333333333337</v>
      </c>
      <c r="BS68" s="219" t="str">
        <f t="shared" si="29"/>
        <v>Paquetes de recobros cuyo trámite de auditoría haya culminado, para el trámite de reconocimiento y pago por parte de ADRES.</v>
      </c>
      <c r="BT68" s="195">
        <f t="shared" si="13"/>
        <v>19466528936.75</v>
      </c>
      <c r="BU68" s="196"/>
      <c r="BV68" s="196"/>
      <c r="BW68" s="196"/>
      <c r="BX68" s="196"/>
      <c r="BY68" s="196"/>
      <c r="BZ68" s="19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row>
    <row r="69" spans="1:235" s="159" customFormat="1" ht="71.25" x14ac:dyDescent="0.25">
      <c r="A69" s="197">
        <v>11500</v>
      </c>
      <c r="B69" s="194" t="s">
        <v>28</v>
      </c>
      <c r="C69" s="198" t="s">
        <v>263</v>
      </c>
      <c r="D69" s="194" t="s">
        <v>144</v>
      </c>
      <c r="E69" s="198" t="s">
        <v>531</v>
      </c>
      <c r="F69" s="201" t="s">
        <v>604</v>
      </c>
      <c r="G69" s="209" t="s">
        <v>124</v>
      </c>
      <c r="H69" s="229">
        <v>12</v>
      </c>
      <c r="I69" s="198" t="s">
        <v>532</v>
      </c>
      <c r="J69" s="194" t="s">
        <v>606</v>
      </c>
      <c r="K69" s="210">
        <v>0</v>
      </c>
      <c r="L69" s="211">
        <v>1</v>
      </c>
      <c r="M69" s="194" t="s">
        <v>46</v>
      </c>
      <c r="N69" s="194" t="s">
        <v>68</v>
      </c>
      <c r="O69" s="194" t="s">
        <v>21</v>
      </c>
      <c r="P69" s="194" t="s">
        <v>36</v>
      </c>
      <c r="Q69" s="194" t="s">
        <v>211</v>
      </c>
      <c r="R69" s="194" t="s">
        <v>675</v>
      </c>
      <c r="S69" s="194" t="s">
        <v>98</v>
      </c>
      <c r="T69" s="230">
        <v>12</v>
      </c>
      <c r="U69" s="212" t="str">
        <f t="shared" si="15"/>
        <v>Publicación del Giro Directo del giro previo</v>
      </c>
      <c r="V69" s="213">
        <f t="shared" si="15"/>
        <v>0</v>
      </c>
      <c r="W69" s="214" t="s">
        <v>117</v>
      </c>
      <c r="X69" s="284">
        <v>3</v>
      </c>
      <c r="Y69" s="282" t="s">
        <v>606</v>
      </c>
      <c r="Z69" s="283">
        <v>0</v>
      </c>
      <c r="AA69" s="279"/>
      <c r="AB69" s="279"/>
      <c r="AC69" s="280">
        <f t="shared" si="16"/>
        <v>0</v>
      </c>
      <c r="AD69" s="280" t="e">
        <f t="shared" si="17"/>
        <v>#DIV/0!</v>
      </c>
      <c r="AE69" s="280">
        <f t="shared" si="0"/>
        <v>0</v>
      </c>
      <c r="AF69" s="280" t="e">
        <f t="shared" si="1"/>
        <v>#DIV/0!</v>
      </c>
      <c r="AG69" s="284">
        <v>3</v>
      </c>
      <c r="AH69" s="282" t="s">
        <v>606</v>
      </c>
      <c r="AI69" s="283">
        <v>0</v>
      </c>
      <c r="AJ69" s="279"/>
      <c r="AK69" s="279"/>
      <c r="AL69" s="280">
        <f t="shared" si="18"/>
        <v>0</v>
      </c>
      <c r="AM69" s="280" t="e">
        <f t="shared" si="2"/>
        <v>#DIV/0!</v>
      </c>
      <c r="AN69" s="280">
        <f t="shared" si="3"/>
        <v>0</v>
      </c>
      <c r="AO69" s="280" t="e">
        <f t="shared" si="4"/>
        <v>#DIV/0!</v>
      </c>
      <c r="AP69" s="284">
        <v>3</v>
      </c>
      <c r="AQ69" s="282" t="s">
        <v>606</v>
      </c>
      <c r="AR69" s="283">
        <v>0</v>
      </c>
      <c r="AS69" s="279"/>
      <c r="AT69" s="279"/>
      <c r="AU69" s="280">
        <f t="shared" si="19"/>
        <v>0</v>
      </c>
      <c r="AV69" s="280" t="e">
        <f t="shared" si="20"/>
        <v>#DIV/0!</v>
      </c>
      <c r="AW69" s="280">
        <f t="shared" si="21"/>
        <v>0</v>
      </c>
      <c r="AX69" s="280" t="e">
        <f t="shared" si="22"/>
        <v>#DIV/0!</v>
      </c>
      <c r="AY69" s="284">
        <v>3</v>
      </c>
      <c r="AZ69" s="282" t="s">
        <v>606</v>
      </c>
      <c r="BA69" s="283">
        <v>0</v>
      </c>
      <c r="BB69" s="279"/>
      <c r="BC69" s="279"/>
      <c r="BD69" s="281">
        <f t="shared" si="23"/>
        <v>0</v>
      </c>
      <c r="BE69" s="281" t="e">
        <f t="shared" si="24"/>
        <v>#DIV/0!</v>
      </c>
      <c r="BF69" s="281">
        <f t="shared" si="25"/>
        <v>0</v>
      </c>
      <c r="BG69" s="281" t="e">
        <f t="shared" si="26"/>
        <v>#DIV/0!</v>
      </c>
      <c r="BH69" s="205">
        <f t="shared" si="7"/>
        <v>0</v>
      </c>
      <c r="BI69" s="205" t="str">
        <f t="shared" si="8"/>
        <v>No Prog ni Ejec</v>
      </c>
      <c r="BJ69" s="205">
        <f t="shared" si="9"/>
        <v>0</v>
      </c>
      <c r="BK69" s="205" t="str">
        <f t="shared" si="10"/>
        <v>No Prog ni Ejec</v>
      </c>
      <c r="BL69" s="205">
        <f t="shared" si="27"/>
        <v>0</v>
      </c>
      <c r="BM69" s="205" t="str">
        <f t="shared" si="28"/>
        <v>No Prog ni Ejec</v>
      </c>
      <c r="BN69" s="205">
        <f t="shared" si="11"/>
        <v>0</v>
      </c>
      <c r="BO69" s="205" t="str">
        <f t="shared" si="12"/>
        <v>No Prog ni Ejec</v>
      </c>
      <c r="BP69" s="206"/>
      <c r="BQ69" s="277">
        <v>10</v>
      </c>
      <c r="BR69" s="218">
        <f t="shared" si="14"/>
        <v>7</v>
      </c>
      <c r="BS69" s="219" t="str">
        <f t="shared" si="29"/>
        <v>Publicación del Giro Directo del giro previo</v>
      </c>
      <c r="BT69" s="195">
        <f t="shared" si="13"/>
        <v>0</v>
      </c>
      <c r="BU69" s="196"/>
      <c r="BV69" s="196"/>
      <c r="BW69" s="196"/>
      <c r="BX69" s="196"/>
      <c r="BY69" s="196"/>
      <c r="BZ69" s="19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row>
    <row r="70" spans="1:235" s="153" customFormat="1" ht="71.25" x14ac:dyDescent="0.25">
      <c r="A70" s="197">
        <v>11500</v>
      </c>
      <c r="B70" s="194" t="s">
        <v>28</v>
      </c>
      <c r="C70" s="198" t="s">
        <v>263</v>
      </c>
      <c r="D70" s="194" t="s">
        <v>144</v>
      </c>
      <c r="E70" s="198" t="s">
        <v>533</v>
      </c>
      <c r="F70" s="194" t="s">
        <v>607</v>
      </c>
      <c r="G70" s="209" t="s">
        <v>123</v>
      </c>
      <c r="H70" s="216">
        <v>1</v>
      </c>
      <c r="I70" s="198" t="s">
        <v>534</v>
      </c>
      <c r="J70" s="194" t="s">
        <v>758</v>
      </c>
      <c r="K70" s="210">
        <v>0</v>
      </c>
      <c r="L70" s="211">
        <v>1</v>
      </c>
      <c r="M70" s="194" t="s">
        <v>46</v>
      </c>
      <c r="N70" s="194" t="s">
        <v>68</v>
      </c>
      <c r="O70" s="194" t="s">
        <v>21</v>
      </c>
      <c r="P70" s="194" t="s">
        <v>36</v>
      </c>
      <c r="Q70" s="194" t="s">
        <v>211</v>
      </c>
      <c r="R70" s="194" t="s">
        <v>622</v>
      </c>
      <c r="S70" s="194" t="s">
        <v>98</v>
      </c>
      <c r="T70" s="211">
        <v>1</v>
      </c>
      <c r="U70" s="212" t="str">
        <f t="shared" si="15"/>
        <v>Realizar informes de supervisión en el período</v>
      </c>
      <c r="V70" s="213">
        <f t="shared" si="15"/>
        <v>0</v>
      </c>
      <c r="W70" s="214" t="s">
        <v>117</v>
      </c>
      <c r="X70" s="216">
        <v>0.25</v>
      </c>
      <c r="Y70" s="214" t="s">
        <v>758</v>
      </c>
      <c r="Z70" s="210">
        <v>0</v>
      </c>
      <c r="AA70" s="196"/>
      <c r="AB70" s="196"/>
      <c r="AC70" s="204">
        <f t="shared" si="16"/>
        <v>0</v>
      </c>
      <c r="AD70" s="204" t="e">
        <f t="shared" si="17"/>
        <v>#DIV/0!</v>
      </c>
      <c r="AE70" s="204">
        <f t="shared" si="0"/>
        <v>0</v>
      </c>
      <c r="AF70" s="204" t="e">
        <f t="shared" si="1"/>
        <v>#DIV/0!</v>
      </c>
      <c r="AG70" s="216">
        <v>0.25</v>
      </c>
      <c r="AH70" s="214" t="s">
        <v>758</v>
      </c>
      <c r="AI70" s="210">
        <v>0</v>
      </c>
      <c r="AJ70" s="196"/>
      <c r="AK70" s="196"/>
      <c r="AL70" s="204">
        <f t="shared" si="18"/>
        <v>0</v>
      </c>
      <c r="AM70" s="204" t="e">
        <f t="shared" si="2"/>
        <v>#DIV/0!</v>
      </c>
      <c r="AN70" s="204">
        <f t="shared" si="3"/>
        <v>0</v>
      </c>
      <c r="AO70" s="204" t="e">
        <f t="shared" si="4"/>
        <v>#DIV/0!</v>
      </c>
      <c r="AP70" s="216">
        <v>0.25</v>
      </c>
      <c r="AQ70" s="214" t="s">
        <v>758</v>
      </c>
      <c r="AR70" s="210">
        <v>0</v>
      </c>
      <c r="AS70" s="196"/>
      <c r="AT70" s="196"/>
      <c r="AU70" s="204">
        <f t="shared" si="19"/>
        <v>0</v>
      </c>
      <c r="AV70" s="204" t="e">
        <f t="shared" si="20"/>
        <v>#DIV/0!</v>
      </c>
      <c r="AW70" s="204">
        <f t="shared" si="21"/>
        <v>0</v>
      </c>
      <c r="AX70" s="204" t="e">
        <f t="shared" si="22"/>
        <v>#DIV/0!</v>
      </c>
      <c r="AY70" s="216">
        <v>0.25</v>
      </c>
      <c r="AZ70" s="214" t="s">
        <v>758</v>
      </c>
      <c r="BA70" s="210">
        <v>0</v>
      </c>
      <c r="BB70" s="196"/>
      <c r="BC70" s="196"/>
      <c r="BD70" s="216">
        <f t="shared" si="23"/>
        <v>0</v>
      </c>
      <c r="BE70" s="216" t="e">
        <f t="shared" si="24"/>
        <v>#DIV/0!</v>
      </c>
      <c r="BF70" s="216">
        <f t="shared" si="25"/>
        <v>0</v>
      </c>
      <c r="BG70" s="216" t="e">
        <f t="shared" si="26"/>
        <v>#DIV/0!</v>
      </c>
      <c r="BH70" s="217">
        <f t="shared" si="7"/>
        <v>0</v>
      </c>
      <c r="BI70" s="217" t="str">
        <f t="shared" si="8"/>
        <v>No Prog ni Ejec</v>
      </c>
      <c r="BJ70" s="217">
        <f t="shared" si="9"/>
        <v>0</v>
      </c>
      <c r="BK70" s="217" t="str">
        <f t="shared" si="10"/>
        <v>No Prog ni Ejec</v>
      </c>
      <c r="BL70" s="217">
        <f t="shared" si="27"/>
        <v>0</v>
      </c>
      <c r="BM70" s="217" t="str">
        <f t="shared" si="28"/>
        <v>No Prog ni Ejec</v>
      </c>
      <c r="BN70" s="217">
        <f t="shared" si="11"/>
        <v>0</v>
      </c>
      <c r="BO70" s="217" t="str">
        <f t="shared" si="12"/>
        <v>No Prog ni Ejec</v>
      </c>
      <c r="BP70" s="206"/>
      <c r="BQ70" s="277">
        <v>10</v>
      </c>
      <c r="BR70" s="208">
        <f t="shared" si="14"/>
        <v>0.58333333333333337</v>
      </c>
      <c r="BS70" s="219" t="str">
        <f t="shared" si="29"/>
        <v>Realizar informes de supervisión en el período</v>
      </c>
      <c r="BT70" s="195">
        <f t="shared" si="13"/>
        <v>0</v>
      </c>
      <c r="BU70" s="196"/>
      <c r="BV70" s="196"/>
      <c r="BW70" s="196"/>
      <c r="BX70" s="196"/>
      <c r="BY70" s="196"/>
      <c r="BZ70" s="19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row>
    <row r="71" spans="1:235" s="154" customFormat="1" ht="85.5" x14ac:dyDescent="0.25">
      <c r="A71" s="197">
        <v>11500</v>
      </c>
      <c r="B71" s="194" t="s">
        <v>28</v>
      </c>
      <c r="C71" s="198" t="s">
        <v>263</v>
      </c>
      <c r="D71" s="194" t="s">
        <v>144</v>
      </c>
      <c r="E71" s="198" t="s">
        <v>535</v>
      </c>
      <c r="F71" s="194" t="s">
        <v>609</v>
      </c>
      <c r="G71" s="209" t="s">
        <v>384</v>
      </c>
      <c r="H71" s="229">
        <v>4</v>
      </c>
      <c r="I71" s="198" t="s">
        <v>536</v>
      </c>
      <c r="J71" s="194" t="s">
        <v>610</v>
      </c>
      <c r="K71" s="210">
        <v>0</v>
      </c>
      <c r="L71" s="211">
        <v>1</v>
      </c>
      <c r="M71" s="194" t="s">
        <v>46</v>
      </c>
      <c r="N71" s="194" t="s">
        <v>68</v>
      </c>
      <c r="O71" s="194" t="s">
        <v>21</v>
      </c>
      <c r="P71" s="194" t="s">
        <v>36</v>
      </c>
      <c r="Q71" s="194" t="s">
        <v>211</v>
      </c>
      <c r="R71" s="194" t="s">
        <v>623</v>
      </c>
      <c r="S71" s="194" t="s">
        <v>98</v>
      </c>
      <c r="T71" s="221">
        <v>4</v>
      </c>
      <c r="U71" s="212" t="str">
        <f t="shared" si="15"/>
        <v xml:space="preserve">Realizar boletines con resultados del proceso de reconocimiento y pago de recobros por concepto de servicios y tecnologías no cubiertos por el plan de beneficios con cargo a la UPC </v>
      </c>
      <c r="V71" s="213">
        <f t="shared" si="15"/>
        <v>0</v>
      </c>
      <c r="W71" s="214" t="s">
        <v>117</v>
      </c>
      <c r="X71" s="215">
        <v>1</v>
      </c>
      <c r="Y71" s="214" t="s">
        <v>610</v>
      </c>
      <c r="Z71" s="210">
        <v>0</v>
      </c>
      <c r="AA71" s="196"/>
      <c r="AB71" s="196"/>
      <c r="AC71" s="204">
        <f t="shared" si="16"/>
        <v>0</v>
      </c>
      <c r="AD71" s="204" t="e">
        <f t="shared" si="17"/>
        <v>#DIV/0!</v>
      </c>
      <c r="AE71" s="204">
        <f t="shared" si="0"/>
        <v>0</v>
      </c>
      <c r="AF71" s="204" t="e">
        <f t="shared" si="1"/>
        <v>#DIV/0!</v>
      </c>
      <c r="AG71" s="215">
        <v>1</v>
      </c>
      <c r="AH71" s="214" t="s">
        <v>610</v>
      </c>
      <c r="AI71" s="210">
        <v>0</v>
      </c>
      <c r="AJ71" s="196"/>
      <c r="AK71" s="196"/>
      <c r="AL71" s="204">
        <f t="shared" si="18"/>
        <v>0</v>
      </c>
      <c r="AM71" s="204" t="e">
        <f t="shared" si="2"/>
        <v>#DIV/0!</v>
      </c>
      <c r="AN71" s="204">
        <f t="shared" si="3"/>
        <v>0</v>
      </c>
      <c r="AO71" s="204" t="e">
        <f t="shared" si="4"/>
        <v>#DIV/0!</v>
      </c>
      <c r="AP71" s="215">
        <v>1</v>
      </c>
      <c r="AQ71" s="214" t="s">
        <v>610</v>
      </c>
      <c r="AR71" s="210">
        <v>0</v>
      </c>
      <c r="AS71" s="196"/>
      <c r="AT71" s="196"/>
      <c r="AU71" s="204">
        <f t="shared" si="19"/>
        <v>0</v>
      </c>
      <c r="AV71" s="204" t="e">
        <f t="shared" si="20"/>
        <v>#DIV/0!</v>
      </c>
      <c r="AW71" s="204">
        <f t="shared" si="21"/>
        <v>0</v>
      </c>
      <c r="AX71" s="204" t="e">
        <f t="shared" si="22"/>
        <v>#DIV/0!</v>
      </c>
      <c r="AY71" s="215">
        <v>1</v>
      </c>
      <c r="AZ71" s="214" t="s">
        <v>610</v>
      </c>
      <c r="BA71" s="210">
        <v>0</v>
      </c>
      <c r="BB71" s="196"/>
      <c r="BC71" s="196"/>
      <c r="BD71" s="216">
        <f t="shared" si="23"/>
        <v>0</v>
      </c>
      <c r="BE71" s="216" t="e">
        <f t="shared" si="24"/>
        <v>#DIV/0!</v>
      </c>
      <c r="BF71" s="216">
        <f t="shared" si="25"/>
        <v>0</v>
      </c>
      <c r="BG71" s="216" t="e">
        <f t="shared" si="26"/>
        <v>#DIV/0!</v>
      </c>
      <c r="BH71" s="207">
        <f t="shared" si="7"/>
        <v>0</v>
      </c>
      <c r="BI71" s="207" t="str">
        <f t="shared" si="8"/>
        <v>No Prog ni Ejec</v>
      </c>
      <c r="BJ71" s="207">
        <f t="shared" si="9"/>
        <v>0</v>
      </c>
      <c r="BK71" s="207" t="str">
        <f t="shared" si="10"/>
        <v>No Prog ni Ejec</v>
      </c>
      <c r="BL71" s="207">
        <f t="shared" si="27"/>
        <v>0</v>
      </c>
      <c r="BM71" s="207" t="str">
        <f t="shared" si="28"/>
        <v>No Prog ni Ejec</v>
      </c>
      <c r="BN71" s="207">
        <f t="shared" si="11"/>
        <v>0</v>
      </c>
      <c r="BO71" s="207" t="str">
        <f t="shared" si="12"/>
        <v>No Prog ni Ejec</v>
      </c>
      <c r="BP71" s="206"/>
      <c r="BQ71" s="277">
        <v>10</v>
      </c>
      <c r="BR71" s="218">
        <f t="shared" si="14"/>
        <v>2.3333333333333335</v>
      </c>
      <c r="BS71" s="219" t="str">
        <f t="shared" si="29"/>
        <v xml:space="preserve">Realizar boletines con resultados del proceso de reconocimiento y pago de recobros por concepto de servicios y tecnologías no cubiertos por el plan de beneficios con cargo a la UPC </v>
      </c>
      <c r="BT71" s="195">
        <f t="shared" si="13"/>
        <v>0</v>
      </c>
      <c r="BU71" s="196"/>
      <c r="BV71" s="196"/>
      <c r="BW71" s="196"/>
      <c r="BX71" s="196"/>
      <c r="BY71" s="196"/>
      <c r="BZ71" s="19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row>
    <row r="72" spans="1:235" s="155" customFormat="1" ht="71.25" x14ac:dyDescent="0.25">
      <c r="A72" s="197">
        <v>11500</v>
      </c>
      <c r="B72" s="194" t="s">
        <v>28</v>
      </c>
      <c r="C72" s="198" t="s">
        <v>611</v>
      </c>
      <c r="D72" s="194" t="s">
        <v>146</v>
      </c>
      <c r="E72" s="198" t="s">
        <v>537</v>
      </c>
      <c r="F72" s="194" t="s">
        <v>612</v>
      </c>
      <c r="G72" s="209" t="s">
        <v>123</v>
      </c>
      <c r="H72" s="216">
        <v>1</v>
      </c>
      <c r="I72" s="198" t="s">
        <v>538</v>
      </c>
      <c r="J72" s="194" t="s">
        <v>613</v>
      </c>
      <c r="K72" s="210">
        <v>195840000</v>
      </c>
      <c r="L72" s="216">
        <v>1</v>
      </c>
      <c r="M72" s="194" t="s">
        <v>46</v>
      </c>
      <c r="N72" s="194" t="s">
        <v>68</v>
      </c>
      <c r="O72" s="194" t="s">
        <v>21</v>
      </c>
      <c r="P72" s="194" t="s">
        <v>36</v>
      </c>
      <c r="Q72" s="194" t="s">
        <v>211</v>
      </c>
      <c r="R72" s="194" t="s">
        <v>759</v>
      </c>
      <c r="S72" s="194" t="s">
        <v>98</v>
      </c>
      <c r="T72" s="211">
        <v>1</v>
      </c>
      <c r="U72" s="212" t="str">
        <f t="shared" si="15"/>
        <v>Entregar apoyos técnicos a la OAJ en recobros y reclamaciones una vez son resueltos por la Dirección de Tecnología de la Información</v>
      </c>
      <c r="V72" s="213">
        <f t="shared" si="15"/>
        <v>195840000</v>
      </c>
      <c r="W72" s="222" t="s">
        <v>114</v>
      </c>
      <c r="X72" s="216">
        <v>0.25</v>
      </c>
      <c r="Y72" s="214" t="s">
        <v>613</v>
      </c>
      <c r="Z72" s="210">
        <v>48960000</v>
      </c>
      <c r="AA72" s="196"/>
      <c r="AB72" s="196"/>
      <c r="AC72" s="204">
        <f t="shared" si="16"/>
        <v>0</v>
      </c>
      <c r="AD72" s="204">
        <f t="shared" si="17"/>
        <v>0</v>
      </c>
      <c r="AE72" s="204">
        <f t="shared" si="0"/>
        <v>0</v>
      </c>
      <c r="AF72" s="204">
        <f t="shared" si="1"/>
        <v>0</v>
      </c>
      <c r="AG72" s="216">
        <v>0.25</v>
      </c>
      <c r="AH72" s="214" t="s">
        <v>613</v>
      </c>
      <c r="AI72" s="210">
        <v>48960000</v>
      </c>
      <c r="AJ72" s="196"/>
      <c r="AK72" s="196"/>
      <c r="AL72" s="204">
        <f t="shared" si="18"/>
        <v>0</v>
      </c>
      <c r="AM72" s="204">
        <f t="shared" si="2"/>
        <v>0</v>
      </c>
      <c r="AN72" s="204">
        <f t="shared" si="3"/>
        <v>0</v>
      </c>
      <c r="AO72" s="204">
        <f t="shared" si="4"/>
        <v>0</v>
      </c>
      <c r="AP72" s="216">
        <v>0.25</v>
      </c>
      <c r="AQ72" s="214" t="s">
        <v>613</v>
      </c>
      <c r="AR72" s="210">
        <v>48960000</v>
      </c>
      <c r="AS72" s="196"/>
      <c r="AT72" s="196"/>
      <c r="AU72" s="204">
        <f t="shared" si="19"/>
        <v>0</v>
      </c>
      <c r="AV72" s="204">
        <f t="shared" si="20"/>
        <v>0</v>
      </c>
      <c r="AW72" s="204">
        <f t="shared" si="21"/>
        <v>0</v>
      </c>
      <c r="AX72" s="204">
        <f t="shared" si="22"/>
        <v>0</v>
      </c>
      <c r="AY72" s="216">
        <v>0.25</v>
      </c>
      <c r="AZ72" s="214" t="s">
        <v>613</v>
      </c>
      <c r="BA72" s="210">
        <v>48960000</v>
      </c>
      <c r="BB72" s="196"/>
      <c r="BC72" s="196"/>
      <c r="BD72" s="216">
        <f t="shared" si="23"/>
        <v>0</v>
      </c>
      <c r="BE72" s="216">
        <f t="shared" si="24"/>
        <v>0</v>
      </c>
      <c r="BF72" s="216">
        <f t="shared" si="25"/>
        <v>0</v>
      </c>
      <c r="BG72" s="216">
        <f t="shared" si="26"/>
        <v>0</v>
      </c>
      <c r="BH72" s="228">
        <f t="shared" si="7"/>
        <v>0</v>
      </c>
      <c r="BI72" s="228">
        <f t="shared" si="8"/>
        <v>0</v>
      </c>
      <c r="BJ72" s="228">
        <f t="shared" si="9"/>
        <v>0</v>
      </c>
      <c r="BK72" s="228">
        <f t="shared" si="10"/>
        <v>0</v>
      </c>
      <c r="BL72" s="228">
        <f t="shared" si="27"/>
        <v>0</v>
      </c>
      <c r="BM72" s="228">
        <f t="shared" si="28"/>
        <v>0</v>
      </c>
      <c r="BN72" s="228">
        <f t="shared" si="11"/>
        <v>0</v>
      </c>
      <c r="BO72" s="228">
        <f t="shared" si="12"/>
        <v>0</v>
      </c>
      <c r="BP72" s="206"/>
      <c r="BQ72" s="277">
        <v>10</v>
      </c>
      <c r="BR72" s="208">
        <f t="shared" si="14"/>
        <v>0.58333333333333337</v>
      </c>
      <c r="BS72" s="219" t="str">
        <f t="shared" si="29"/>
        <v>Entregar apoyos técnicos a la OAJ en recobros y reclamaciones una vez son resueltos por la Dirección de Tecnología de la Información</v>
      </c>
      <c r="BT72" s="195">
        <f t="shared" si="13"/>
        <v>114240000</v>
      </c>
      <c r="BU72" s="196"/>
      <c r="BV72" s="196"/>
      <c r="BW72" s="196"/>
      <c r="BX72" s="196"/>
      <c r="BY72" s="196"/>
      <c r="BZ72" s="19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row>
    <row r="73" spans="1:235" s="159" customFormat="1" ht="85.5" x14ac:dyDescent="0.25">
      <c r="A73" s="197">
        <v>11500</v>
      </c>
      <c r="B73" s="194" t="s">
        <v>28</v>
      </c>
      <c r="C73" s="198" t="s">
        <v>263</v>
      </c>
      <c r="D73" s="194" t="s">
        <v>144</v>
      </c>
      <c r="E73" s="198" t="s">
        <v>618</v>
      </c>
      <c r="F73" s="194" t="s">
        <v>614</v>
      </c>
      <c r="G73" s="209" t="s">
        <v>123</v>
      </c>
      <c r="H73" s="216">
        <v>1</v>
      </c>
      <c r="I73" s="198" t="s">
        <v>620</v>
      </c>
      <c r="J73" s="194" t="s">
        <v>615</v>
      </c>
      <c r="K73" s="210">
        <v>12240000</v>
      </c>
      <c r="L73" s="211">
        <v>1</v>
      </c>
      <c r="M73" s="194" t="s">
        <v>46</v>
      </c>
      <c r="N73" s="194" t="s">
        <v>68</v>
      </c>
      <c r="O73" s="194" t="s">
        <v>21</v>
      </c>
      <c r="P73" s="194" t="s">
        <v>36</v>
      </c>
      <c r="Q73" s="194" t="s">
        <v>211</v>
      </c>
      <c r="R73" s="194" t="s">
        <v>676</v>
      </c>
      <c r="S73" s="194" t="s">
        <v>98</v>
      </c>
      <c r="T73" s="211">
        <v>1</v>
      </c>
      <c r="U73" s="212" t="str">
        <f t="shared" si="15"/>
        <v>Pagar paquetes de reclamaciones de acuerdo con lo definido en la normativa vigente</v>
      </c>
      <c r="V73" s="213">
        <f t="shared" si="15"/>
        <v>12240000</v>
      </c>
      <c r="W73" s="222" t="s">
        <v>114</v>
      </c>
      <c r="X73" s="281">
        <v>0.25</v>
      </c>
      <c r="Y73" s="282" t="s">
        <v>615</v>
      </c>
      <c r="Z73" s="283">
        <f>+V73*X73</f>
        <v>3060000</v>
      </c>
      <c r="AA73" s="279"/>
      <c r="AB73" s="279"/>
      <c r="AC73" s="280">
        <f t="shared" si="16"/>
        <v>0</v>
      </c>
      <c r="AD73" s="280">
        <f t="shared" si="17"/>
        <v>0</v>
      </c>
      <c r="AE73" s="280">
        <f t="shared" si="0"/>
        <v>0</v>
      </c>
      <c r="AF73" s="280">
        <f t="shared" si="1"/>
        <v>0</v>
      </c>
      <c r="AG73" s="281">
        <v>0.25</v>
      </c>
      <c r="AH73" s="282" t="s">
        <v>615</v>
      </c>
      <c r="AI73" s="283">
        <v>3060000</v>
      </c>
      <c r="AJ73" s="279"/>
      <c r="AK73" s="279"/>
      <c r="AL73" s="280">
        <f t="shared" si="18"/>
        <v>0</v>
      </c>
      <c r="AM73" s="280">
        <f t="shared" si="2"/>
        <v>0</v>
      </c>
      <c r="AN73" s="280">
        <f t="shared" si="3"/>
        <v>0</v>
      </c>
      <c r="AO73" s="280">
        <f t="shared" si="4"/>
        <v>0</v>
      </c>
      <c r="AP73" s="281">
        <v>0.25</v>
      </c>
      <c r="AQ73" s="282" t="s">
        <v>615</v>
      </c>
      <c r="AR73" s="283">
        <v>3060000</v>
      </c>
      <c r="AS73" s="279"/>
      <c r="AT73" s="279"/>
      <c r="AU73" s="280">
        <f t="shared" si="19"/>
        <v>0</v>
      </c>
      <c r="AV73" s="280">
        <f t="shared" si="20"/>
        <v>0</v>
      </c>
      <c r="AW73" s="280">
        <f t="shared" si="21"/>
        <v>0</v>
      </c>
      <c r="AX73" s="280">
        <f t="shared" si="22"/>
        <v>0</v>
      </c>
      <c r="AY73" s="281">
        <v>0.25</v>
      </c>
      <c r="AZ73" s="282" t="s">
        <v>615</v>
      </c>
      <c r="BA73" s="283">
        <v>3060000</v>
      </c>
      <c r="BB73" s="279"/>
      <c r="BC73" s="279"/>
      <c r="BD73" s="281">
        <f t="shared" si="23"/>
        <v>0</v>
      </c>
      <c r="BE73" s="281">
        <f t="shared" si="24"/>
        <v>0</v>
      </c>
      <c r="BF73" s="281">
        <f t="shared" si="25"/>
        <v>0</v>
      </c>
      <c r="BG73" s="281">
        <f t="shared" si="26"/>
        <v>0</v>
      </c>
      <c r="BH73" s="205">
        <f t="shared" si="7"/>
        <v>0</v>
      </c>
      <c r="BI73" s="205">
        <f t="shared" si="8"/>
        <v>0</v>
      </c>
      <c r="BJ73" s="205">
        <f t="shared" si="9"/>
        <v>0</v>
      </c>
      <c r="BK73" s="205">
        <f t="shared" si="10"/>
        <v>0</v>
      </c>
      <c r="BL73" s="205">
        <f t="shared" si="27"/>
        <v>0</v>
      </c>
      <c r="BM73" s="205">
        <f t="shared" si="28"/>
        <v>0</v>
      </c>
      <c r="BN73" s="205">
        <f t="shared" si="11"/>
        <v>0</v>
      </c>
      <c r="BO73" s="205">
        <f t="shared" si="12"/>
        <v>0</v>
      </c>
      <c r="BP73" s="206" t="s">
        <v>717</v>
      </c>
      <c r="BQ73" s="277">
        <v>10</v>
      </c>
      <c r="BR73" s="208">
        <f t="shared" si="14"/>
        <v>0.58333333333333337</v>
      </c>
      <c r="BS73" s="219" t="str">
        <f t="shared" si="29"/>
        <v>Pagar paquetes de reclamaciones de acuerdo con lo definido en la normativa vigente</v>
      </c>
      <c r="BT73" s="195">
        <f t="shared" si="13"/>
        <v>7140000</v>
      </c>
      <c r="BU73" s="196"/>
      <c r="BV73" s="196"/>
      <c r="BW73" s="196"/>
      <c r="BX73" s="196"/>
      <c r="BY73" s="196"/>
      <c r="BZ73" s="19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row>
    <row r="74" spans="1:235" s="154" customFormat="1" ht="71.25" x14ac:dyDescent="0.25">
      <c r="A74" s="197">
        <v>11500</v>
      </c>
      <c r="B74" s="194" t="s">
        <v>28</v>
      </c>
      <c r="C74" s="198" t="s">
        <v>263</v>
      </c>
      <c r="D74" s="194" t="s">
        <v>144</v>
      </c>
      <c r="E74" s="198" t="s">
        <v>619</v>
      </c>
      <c r="F74" s="194" t="s">
        <v>616</v>
      </c>
      <c r="G74" s="209" t="s">
        <v>384</v>
      </c>
      <c r="H74" s="229">
        <v>4</v>
      </c>
      <c r="I74" s="198" t="s">
        <v>621</v>
      </c>
      <c r="J74" s="194" t="s">
        <v>617</v>
      </c>
      <c r="K74" s="210">
        <v>0</v>
      </c>
      <c r="L74" s="211">
        <v>1</v>
      </c>
      <c r="M74" s="194" t="s">
        <v>46</v>
      </c>
      <c r="N74" s="194" t="s">
        <v>68</v>
      </c>
      <c r="O74" s="194" t="s">
        <v>21</v>
      </c>
      <c r="P74" s="194" t="s">
        <v>36</v>
      </c>
      <c r="Q74" s="194" t="s">
        <v>211</v>
      </c>
      <c r="R74" s="194" t="s">
        <v>623</v>
      </c>
      <c r="S74" s="194" t="s">
        <v>98</v>
      </c>
      <c r="T74" s="221">
        <v>4</v>
      </c>
      <c r="U74" s="212" t="str">
        <f t="shared" si="15"/>
        <v>Generar boletines con resultados del proceso reclamaciones</v>
      </c>
      <c r="V74" s="213">
        <f t="shared" si="15"/>
        <v>0</v>
      </c>
      <c r="W74" s="214" t="s">
        <v>117</v>
      </c>
      <c r="X74" s="215">
        <v>1</v>
      </c>
      <c r="Y74" s="214" t="s">
        <v>617</v>
      </c>
      <c r="Z74" s="210">
        <v>0</v>
      </c>
      <c r="AA74" s="196"/>
      <c r="AB74" s="196"/>
      <c r="AC74" s="204">
        <f t="shared" si="16"/>
        <v>0</v>
      </c>
      <c r="AD74" s="204" t="e">
        <f t="shared" si="17"/>
        <v>#DIV/0!</v>
      </c>
      <c r="AE74" s="204">
        <f t="shared" si="0"/>
        <v>0</v>
      </c>
      <c r="AF74" s="204" t="e">
        <f t="shared" si="1"/>
        <v>#DIV/0!</v>
      </c>
      <c r="AG74" s="215">
        <v>1</v>
      </c>
      <c r="AH74" s="214" t="s">
        <v>617</v>
      </c>
      <c r="AI74" s="210">
        <v>0</v>
      </c>
      <c r="AJ74" s="196"/>
      <c r="AK74" s="196"/>
      <c r="AL74" s="204">
        <f t="shared" si="18"/>
        <v>0</v>
      </c>
      <c r="AM74" s="204" t="e">
        <f t="shared" si="2"/>
        <v>#DIV/0!</v>
      </c>
      <c r="AN74" s="204">
        <f t="shared" si="3"/>
        <v>0</v>
      </c>
      <c r="AO74" s="204" t="e">
        <f t="shared" si="4"/>
        <v>#DIV/0!</v>
      </c>
      <c r="AP74" s="215">
        <v>1</v>
      </c>
      <c r="AQ74" s="214" t="s">
        <v>617</v>
      </c>
      <c r="AR74" s="210">
        <v>0</v>
      </c>
      <c r="AS74" s="196"/>
      <c r="AT74" s="196"/>
      <c r="AU74" s="204">
        <f t="shared" si="19"/>
        <v>0</v>
      </c>
      <c r="AV74" s="204" t="e">
        <f t="shared" si="20"/>
        <v>#DIV/0!</v>
      </c>
      <c r="AW74" s="204">
        <f t="shared" si="21"/>
        <v>0</v>
      </c>
      <c r="AX74" s="204" t="e">
        <f t="shared" si="22"/>
        <v>#DIV/0!</v>
      </c>
      <c r="AY74" s="215">
        <v>1</v>
      </c>
      <c r="AZ74" s="214" t="s">
        <v>617</v>
      </c>
      <c r="BA74" s="210">
        <v>0</v>
      </c>
      <c r="BB74" s="196"/>
      <c r="BC74" s="196"/>
      <c r="BD74" s="216">
        <f t="shared" si="23"/>
        <v>0</v>
      </c>
      <c r="BE74" s="216" t="e">
        <f t="shared" si="24"/>
        <v>#DIV/0!</v>
      </c>
      <c r="BF74" s="216">
        <f t="shared" si="25"/>
        <v>0</v>
      </c>
      <c r="BG74" s="216" t="e">
        <f t="shared" si="26"/>
        <v>#DIV/0!</v>
      </c>
      <c r="BH74" s="207">
        <f t="shared" si="7"/>
        <v>0</v>
      </c>
      <c r="BI74" s="207" t="str">
        <f t="shared" si="8"/>
        <v>No Prog ni Ejec</v>
      </c>
      <c r="BJ74" s="207">
        <f t="shared" si="9"/>
        <v>0</v>
      </c>
      <c r="BK74" s="207" t="str">
        <f t="shared" si="10"/>
        <v>No Prog ni Ejec</v>
      </c>
      <c r="BL74" s="207">
        <f t="shared" si="27"/>
        <v>0</v>
      </c>
      <c r="BM74" s="207" t="str">
        <f t="shared" si="28"/>
        <v>No Prog ni Ejec</v>
      </c>
      <c r="BN74" s="207">
        <f t="shared" si="11"/>
        <v>0</v>
      </c>
      <c r="BO74" s="207" t="str">
        <f t="shared" si="12"/>
        <v>No Prog ni Ejec</v>
      </c>
      <c r="BP74" s="206"/>
      <c r="BQ74" s="277">
        <v>10</v>
      </c>
      <c r="BR74" s="218">
        <f t="shared" si="14"/>
        <v>2.3333333333333335</v>
      </c>
      <c r="BS74" s="219" t="str">
        <f t="shared" si="29"/>
        <v>Generar boletines con resultados del proceso reclamaciones</v>
      </c>
      <c r="BT74" s="195">
        <f t="shared" ref="BT74:BT137" si="30">+(Z74+AI74+(AR74/3))</f>
        <v>0</v>
      </c>
      <c r="BU74" s="196"/>
      <c r="BV74" s="196"/>
      <c r="BW74" s="196"/>
      <c r="BX74" s="196"/>
      <c r="BY74" s="196"/>
      <c r="BZ74" s="19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row>
    <row r="75" spans="1:235" s="153" customFormat="1" ht="57" x14ac:dyDescent="0.25">
      <c r="A75" s="197">
        <v>11600</v>
      </c>
      <c r="B75" s="194" t="s">
        <v>6</v>
      </c>
      <c r="C75" s="198" t="s">
        <v>266</v>
      </c>
      <c r="D75" s="194" t="s">
        <v>153</v>
      </c>
      <c r="E75" s="198" t="s">
        <v>268</v>
      </c>
      <c r="F75" s="194" t="s">
        <v>133</v>
      </c>
      <c r="G75" s="209" t="s">
        <v>124</v>
      </c>
      <c r="H75" s="198">
        <v>4</v>
      </c>
      <c r="I75" s="198" t="s">
        <v>271</v>
      </c>
      <c r="J75" s="194" t="s">
        <v>24</v>
      </c>
      <c r="K75" s="210">
        <v>0</v>
      </c>
      <c r="L75" s="211">
        <v>1</v>
      </c>
      <c r="M75" s="194" t="s">
        <v>51</v>
      </c>
      <c r="N75" s="194" t="s">
        <v>68</v>
      </c>
      <c r="O75" s="194" t="s">
        <v>21</v>
      </c>
      <c r="P75" s="194" t="s">
        <v>36</v>
      </c>
      <c r="Q75" s="194" t="s">
        <v>75</v>
      </c>
      <c r="R75" s="194" t="s">
        <v>631</v>
      </c>
      <c r="S75" s="194" t="s">
        <v>98</v>
      </c>
      <c r="T75" s="198">
        <v>4</v>
      </c>
      <c r="U75" s="212" t="str">
        <f t="shared" si="15"/>
        <v>Reportar el cumplimiento del Plan de Acción de la Dependencia</v>
      </c>
      <c r="V75" s="213">
        <f t="shared" si="15"/>
        <v>0</v>
      </c>
      <c r="W75" s="214" t="s">
        <v>117</v>
      </c>
      <c r="X75" s="215">
        <v>1</v>
      </c>
      <c r="Y75" s="214" t="s">
        <v>24</v>
      </c>
      <c r="Z75" s="210">
        <v>0</v>
      </c>
      <c r="AA75" s="196"/>
      <c r="AB75" s="196"/>
      <c r="AC75" s="204">
        <f t="shared" si="16"/>
        <v>0</v>
      </c>
      <c r="AD75" s="204" t="e">
        <f t="shared" si="17"/>
        <v>#DIV/0!</v>
      </c>
      <c r="AE75" s="204">
        <f t="shared" ref="AE75:AE140" si="31">+(AA75/T75)</f>
        <v>0</v>
      </c>
      <c r="AF75" s="204" t="e">
        <f t="shared" ref="AF75:AF140" si="32">+(AB75/V75)</f>
        <v>#DIV/0!</v>
      </c>
      <c r="AG75" s="215">
        <v>1</v>
      </c>
      <c r="AH75" s="214" t="s">
        <v>24</v>
      </c>
      <c r="AI75" s="210">
        <v>0</v>
      </c>
      <c r="AJ75" s="196"/>
      <c r="AK75" s="196"/>
      <c r="AL75" s="204">
        <f t="shared" si="18"/>
        <v>0</v>
      </c>
      <c r="AM75" s="204" t="e">
        <f t="shared" ref="AM75:AM140" si="33">+(AK75/AI75)</f>
        <v>#DIV/0!</v>
      </c>
      <c r="AN75" s="204">
        <f t="shared" ref="AN75:AN140" si="34">+(AJ75+AA75)/T75</f>
        <v>0</v>
      </c>
      <c r="AO75" s="204" t="e">
        <f t="shared" ref="AO75:AO140" si="35">+(AK75+AB75)/V75</f>
        <v>#DIV/0!</v>
      </c>
      <c r="AP75" s="215">
        <v>1</v>
      </c>
      <c r="AQ75" s="214" t="s">
        <v>24</v>
      </c>
      <c r="AR75" s="210">
        <v>0</v>
      </c>
      <c r="AS75" s="196"/>
      <c r="AT75" s="196"/>
      <c r="AU75" s="204">
        <f t="shared" si="19"/>
        <v>0</v>
      </c>
      <c r="AV75" s="204" t="e">
        <f t="shared" si="20"/>
        <v>#DIV/0!</v>
      </c>
      <c r="AW75" s="204">
        <f t="shared" si="21"/>
        <v>0</v>
      </c>
      <c r="AX75" s="204" t="e">
        <f t="shared" si="22"/>
        <v>#DIV/0!</v>
      </c>
      <c r="AY75" s="215">
        <v>1</v>
      </c>
      <c r="AZ75" s="214" t="s">
        <v>24</v>
      </c>
      <c r="BA75" s="210">
        <v>0</v>
      </c>
      <c r="BB75" s="196"/>
      <c r="BC75" s="196"/>
      <c r="BD75" s="216">
        <f t="shared" si="23"/>
        <v>0</v>
      </c>
      <c r="BE75" s="216" t="e">
        <f t="shared" si="24"/>
        <v>#DIV/0!</v>
      </c>
      <c r="BF75" s="216">
        <f t="shared" si="25"/>
        <v>0</v>
      </c>
      <c r="BG75" s="216" t="e">
        <f t="shared" si="26"/>
        <v>#DIV/0!</v>
      </c>
      <c r="BH75" s="217">
        <f t="shared" ref="BH75:BH140" si="36">IF(AND(X75=0,AA75=0),"No Prog ni Ejec",IF(X75=0,CONCATENATE("No Prog, Ejec=  ",AA75),AA75/X75))</f>
        <v>0</v>
      </c>
      <c r="BI75" s="217" t="str">
        <f t="shared" ref="BI75:BI140" si="37">IF(AND(Z75=0,AB75=0),"No Prog ni Ejec",IF(Z75=0,CONCATENATE("No Prog, Ejec=  ",AB75),AB75/Z75))</f>
        <v>No Prog ni Ejec</v>
      </c>
      <c r="BJ75" s="217">
        <f t="shared" ref="BJ75:BJ140" si="38">IF(AND(AG75=0,AJ75=0),"No Prog ni Ejec",IF(AG75=0,CONCATENATE("No Prog, Ejec=  ",AJ75),AJ75/AG75))</f>
        <v>0</v>
      </c>
      <c r="BK75" s="217" t="str">
        <f t="shared" ref="BK75:BK140" si="39">IF(AND(AI75=0,AK75=0),"No Prog ni Ejec",IF(AI75=0,CONCATENATE("No Prog, Ejec=  ",AK75),AK75/AI75))</f>
        <v>No Prog ni Ejec</v>
      </c>
      <c r="BL75" s="217">
        <f t="shared" si="27"/>
        <v>0</v>
      </c>
      <c r="BM75" s="217" t="str">
        <f t="shared" si="28"/>
        <v>No Prog ni Ejec</v>
      </c>
      <c r="BN75" s="217">
        <f t="shared" ref="BN75:BN140" si="40">IF(AND(AY75=0,BB75=0),"No Prog ni Ejec",IF(AY75=0,CONCATENATE("No Prog, Ejec=  ",BB75),BB75/AY75))</f>
        <v>0</v>
      </c>
      <c r="BO75" s="217" t="str">
        <f t="shared" ref="BO75:BO140" si="41">IF(AND(BA75=0,BC75=0),"No Prog ni Ejec",IF(BA75=0,CONCATENATE("No Prog, Ejec=  ",BC75),BC75/BA75))</f>
        <v>No Prog ni Ejec</v>
      </c>
      <c r="BP75" s="206"/>
      <c r="BQ75" s="277">
        <v>5</v>
      </c>
      <c r="BR75" s="218">
        <f t="shared" ref="BR75:BR138" si="42">+(X75+AG75+(AP75/3))</f>
        <v>2.3333333333333335</v>
      </c>
      <c r="BS75" s="219" t="str">
        <f t="shared" si="29"/>
        <v>Reportar el cumplimiento del Plan de Acción de la Dependencia</v>
      </c>
      <c r="BT75" s="195">
        <f t="shared" si="30"/>
        <v>0</v>
      </c>
      <c r="BU75" s="196"/>
      <c r="BV75" s="196"/>
      <c r="BW75" s="196"/>
      <c r="BX75" s="196"/>
      <c r="BY75" s="196"/>
      <c r="BZ75" s="19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row>
    <row r="76" spans="1:235" s="153" customFormat="1" ht="99.75" x14ac:dyDescent="0.25">
      <c r="A76" s="197">
        <v>11600</v>
      </c>
      <c r="B76" s="194" t="s">
        <v>6</v>
      </c>
      <c r="C76" s="198" t="s">
        <v>267</v>
      </c>
      <c r="D76" s="194" t="s">
        <v>256</v>
      </c>
      <c r="E76" s="198" t="s">
        <v>269</v>
      </c>
      <c r="F76" s="194" t="s">
        <v>159</v>
      </c>
      <c r="G76" s="209" t="s">
        <v>123</v>
      </c>
      <c r="H76" s="216">
        <v>1</v>
      </c>
      <c r="I76" s="198" t="s">
        <v>272</v>
      </c>
      <c r="J76" s="194" t="s">
        <v>598</v>
      </c>
      <c r="K76" s="210">
        <v>0</v>
      </c>
      <c r="L76" s="211">
        <v>1</v>
      </c>
      <c r="M76" s="194" t="s">
        <v>51</v>
      </c>
      <c r="N76" s="194" t="s">
        <v>68</v>
      </c>
      <c r="O76" s="194" t="s">
        <v>21</v>
      </c>
      <c r="P76" s="194" t="s">
        <v>36</v>
      </c>
      <c r="Q76" s="194" t="s">
        <v>75</v>
      </c>
      <c r="R76" s="194" t="s">
        <v>632</v>
      </c>
      <c r="S76" s="194" t="s">
        <v>98</v>
      </c>
      <c r="T76" s="211">
        <v>1</v>
      </c>
      <c r="U76" s="212" t="str">
        <f t="shared" ref="U76:V141" si="43">+J76</f>
        <v>Formular los procesos y procedimientos en el marco del MIPG</v>
      </c>
      <c r="V76" s="213">
        <f t="shared" si="43"/>
        <v>0</v>
      </c>
      <c r="W76" s="214" t="s">
        <v>117</v>
      </c>
      <c r="X76" s="216">
        <v>0.25</v>
      </c>
      <c r="Y76" s="214" t="s">
        <v>598</v>
      </c>
      <c r="Z76" s="210">
        <v>0</v>
      </c>
      <c r="AA76" s="196"/>
      <c r="AB76" s="196"/>
      <c r="AC76" s="204">
        <f t="shared" ref="AC76:AC141" si="44">+(AA76/X76)</f>
        <v>0</v>
      </c>
      <c r="AD76" s="204" t="e">
        <f t="shared" ref="AD76:AD141" si="45">+(AB76/Z76)</f>
        <v>#DIV/0!</v>
      </c>
      <c r="AE76" s="204">
        <f t="shared" si="31"/>
        <v>0</v>
      </c>
      <c r="AF76" s="204" t="e">
        <f t="shared" si="32"/>
        <v>#DIV/0!</v>
      </c>
      <c r="AG76" s="216">
        <v>0.25</v>
      </c>
      <c r="AH76" s="214" t="s">
        <v>598</v>
      </c>
      <c r="AI76" s="210">
        <v>0</v>
      </c>
      <c r="AJ76" s="196"/>
      <c r="AK76" s="196"/>
      <c r="AL76" s="204">
        <f t="shared" ref="AL76:AL141" si="46">+(AJ76/AG76)</f>
        <v>0</v>
      </c>
      <c r="AM76" s="204" t="e">
        <f t="shared" si="33"/>
        <v>#DIV/0!</v>
      </c>
      <c r="AN76" s="204">
        <f t="shared" si="34"/>
        <v>0</v>
      </c>
      <c r="AO76" s="204" t="e">
        <f t="shared" si="35"/>
        <v>#DIV/0!</v>
      </c>
      <c r="AP76" s="216">
        <v>0.25</v>
      </c>
      <c r="AQ76" s="214" t="s">
        <v>598</v>
      </c>
      <c r="AR76" s="210">
        <v>0</v>
      </c>
      <c r="AS76" s="196"/>
      <c r="AT76" s="196"/>
      <c r="AU76" s="204">
        <f t="shared" ref="AU76:AU141" si="47">+(AS76/AP76)</f>
        <v>0</v>
      </c>
      <c r="AV76" s="204" t="e">
        <f t="shared" ref="AV76:AV141" si="48">+(AT76/AR76)</f>
        <v>#DIV/0!</v>
      </c>
      <c r="AW76" s="204">
        <f t="shared" ref="AW76:AW141" si="49">+(AJ76+AA76+AS76)/T76</f>
        <v>0</v>
      </c>
      <c r="AX76" s="204" t="e">
        <f t="shared" ref="AX76:AX141" si="50">+(AK76+AB76+AT76)/V76</f>
        <v>#DIV/0!</v>
      </c>
      <c r="AY76" s="216">
        <v>0.25</v>
      </c>
      <c r="AZ76" s="214" t="s">
        <v>598</v>
      </c>
      <c r="BA76" s="210">
        <v>0</v>
      </c>
      <c r="BB76" s="196"/>
      <c r="BC76" s="196"/>
      <c r="BD76" s="216">
        <f t="shared" ref="BD76:BD141" si="51">+(BB76/AY76)</f>
        <v>0</v>
      </c>
      <c r="BE76" s="216" t="e">
        <f t="shared" ref="BE76:BE141" si="52">+(BC76/BA76)</f>
        <v>#DIV/0!</v>
      </c>
      <c r="BF76" s="216">
        <f t="shared" ref="BF76:BF141" si="53">+(AJ76+AA76+AS76+BB76)/T76</f>
        <v>0</v>
      </c>
      <c r="BG76" s="216" t="e">
        <f t="shared" ref="BG76:BG141" si="54">+(AK76+AB76+AT76+BC76)/V76</f>
        <v>#DIV/0!</v>
      </c>
      <c r="BH76" s="217">
        <f t="shared" si="36"/>
        <v>0</v>
      </c>
      <c r="BI76" s="217" t="str">
        <f t="shared" si="37"/>
        <v>No Prog ni Ejec</v>
      </c>
      <c r="BJ76" s="217">
        <f t="shared" si="38"/>
        <v>0</v>
      </c>
      <c r="BK76" s="217" t="str">
        <f t="shared" si="39"/>
        <v>No Prog ni Ejec</v>
      </c>
      <c r="BL76" s="217">
        <f t="shared" ref="BL76:BL141" si="55">IF(AND(AP76=0,AS76=0),"No Prog ni Ejec",IF(AP76=0,CONCATENATE("No Prog, Ejec=  ",AS76),AS76/AP76))</f>
        <v>0</v>
      </c>
      <c r="BM76" s="217" t="str">
        <f t="shared" ref="BM76:BM141" si="56">IF(AND(AR76=0,AT76=0),"No Prog ni Ejec",IF(AR76=0,CONCATENATE("No Prog, Ejec=  ",AT76),AT76/AR76))</f>
        <v>No Prog ni Ejec</v>
      </c>
      <c r="BN76" s="217">
        <f t="shared" si="40"/>
        <v>0</v>
      </c>
      <c r="BO76" s="217" t="str">
        <f t="shared" si="41"/>
        <v>No Prog ni Ejec</v>
      </c>
      <c r="BP76" s="206"/>
      <c r="BQ76" s="277">
        <v>5</v>
      </c>
      <c r="BR76" s="208">
        <f t="shared" si="42"/>
        <v>0.58333333333333337</v>
      </c>
      <c r="BS76" s="219" t="str">
        <f t="shared" si="29"/>
        <v>Formular los procesos y procedimientos en el marco del MIPG</v>
      </c>
      <c r="BT76" s="195">
        <f t="shared" si="30"/>
        <v>0</v>
      </c>
      <c r="BU76" s="196"/>
      <c r="BV76" s="196"/>
      <c r="BW76" s="196"/>
      <c r="BX76" s="196"/>
      <c r="BY76" s="196"/>
      <c r="BZ76" s="19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row>
    <row r="77" spans="1:235" s="153" customFormat="1" ht="99.75" x14ac:dyDescent="0.25">
      <c r="A77" s="197">
        <v>11600</v>
      </c>
      <c r="B77" s="194" t="s">
        <v>6</v>
      </c>
      <c r="C77" s="198" t="s">
        <v>267</v>
      </c>
      <c r="D77" s="194" t="s">
        <v>256</v>
      </c>
      <c r="E77" s="198" t="s">
        <v>270</v>
      </c>
      <c r="F77" s="194" t="s">
        <v>127</v>
      </c>
      <c r="G77" s="209" t="s">
        <v>124</v>
      </c>
      <c r="H77" s="198">
        <v>4</v>
      </c>
      <c r="I77" s="198" t="s">
        <v>273</v>
      </c>
      <c r="J77" s="194" t="s">
        <v>128</v>
      </c>
      <c r="K77" s="210">
        <v>0</v>
      </c>
      <c r="L77" s="211">
        <v>1</v>
      </c>
      <c r="M77" s="194" t="s">
        <v>51</v>
      </c>
      <c r="N77" s="194" t="s">
        <v>68</v>
      </c>
      <c r="O77" s="194" t="s">
        <v>21</v>
      </c>
      <c r="P77" s="194" t="s">
        <v>36</v>
      </c>
      <c r="Q77" s="194" t="s">
        <v>75</v>
      </c>
      <c r="R77" s="194" t="s">
        <v>137</v>
      </c>
      <c r="S77" s="194" t="s">
        <v>98</v>
      </c>
      <c r="T77" s="198">
        <v>4</v>
      </c>
      <c r="U77" s="212" t="str">
        <f t="shared" si="43"/>
        <v>Remitir informes trimestrales de los indicadores formulados y las acciones de mejoras</v>
      </c>
      <c r="V77" s="213">
        <f t="shared" si="43"/>
        <v>0</v>
      </c>
      <c r="W77" s="214" t="s">
        <v>117</v>
      </c>
      <c r="X77" s="215">
        <v>1</v>
      </c>
      <c r="Y77" s="214" t="s">
        <v>128</v>
      </c>
      <c r="Z77" s="210">
        <v>0</v>
      </c>
      <c r="AA77" s="196"/>
      <c r="AB77" s="196"/>
      <c r="AC77" s="204">
        <f t="shared" si="44"/>
        <v>0</v>
      </c>
      <c r="AD77" s="204" t="e">
        <f t="shared" si="45"/>
        <v>#DIV/0!</v>
      </c>
      <c r="AE77" s="204">
        <f t="shared" si="31"/>
        <v>0</v>
      </c>
      <c r="AF77" s="204" t="e">
        <f t="shared" si="32"/>
        <v>#DIV/0!</v>
      </c>
      <c r="AG77" s="215">
        <v>1</v>
      </c>
      <c r="AH77" s="214" t="s">
        <v>128</v>
      </c>
      <c r="AI77" s="210">
        <v>0</v>
      </c>
      <c r="AJ77" s="196"/>
      <c r="AK77" s="196"/>
      <c r="AL77" s="204">
        <f t="shared" si="46"/>
        <v>0</v>
      </c>
      <c r="AM77" s="204" t="e">
        <f t="shared" si="33"/>
        <v>#DIV/0!</v>
      </c>
      <c r="AN77" s="204">
        <f t="shared" si="34"/>
        <v>0</v>
      </c>
      <c r="AO77" s="204" t="e">
        <f t="shared" si="35"/>
        <v>#DIV/0!</v>
      </c>
      <c r="AP77" s="215">
        <v>1</v>
      </c>
      <c r="AQ77" s="214" t="s">
        <v>128</v>
      </c>
      <c r="AR77" s="210">
        <v>0</v>
      </c>
      <c r="AS77" s="196"/>
      <c r="AT77" s="196"/>
      <c r="AU77" s="204">
        <f t="shared" si="47"/>
        <v>0</v>
      </c>
      <c r="AV77" s="204" t="e">
        <f t="shared" si="48"/>
        <v>#DIV/0!</v>
      </c>
      <c r="AW77" s="204">
        <f t="shared" si="49"/>
        <v>0</v>
      </c>
      <c r="AX77" s="204" t="e">
        <f t="shared" si="50"/>
        <v>#DIV/0!</v>
      </c>
      <c r="AY77" s="215">
        <v>1</v>
      </c>
      <c r="AZ77" s="214" t="s">
        <v>128</v>
      </c>
      <c r="BA77" s="210">
        <v>0</v>
      </c>
      <c r="BB77" s="196"/>
      <c r="BC77" s="196"/>
      <c r="BD77" s="216">
        <f t="shared" si="51"/>
        <v>0</v>
      </c>
      <c r="BE77" s="216" t="e">
        <f t="shared" si="52"/>
        <v>#DIV/0!</v>
      </c>
      <c r="BF77" s="216">
        <f t="shared" si="53"/>
        <v>0</v>
      </c>
      <c r="BG77" s="216" t="e">
        <f t="shared" si="54"/>
        <v>#DIV/0!</v>
      </c>
      <c r="BH77" s="217">
        <f t="shared" si="36"/>
        <v>0</v>
      </c>
      <c r="BI77" s="217" t="str">
        <f t="shared" si="37"/>
        <v>No Prog ni Ejec</v>
      </c>
      <c r="BJ77" s="217">
        <f t="shared" si="38"/>
        <v>0</v>
      </c>
      <c r="BK77" s="217" t="str">
        <f t="shared" si="39"/>
        <v>No Prog ni Ejec</v>
      </c>
      <c r="BL77" s="217">
        <f t="shared" si="55"/>
        <v>0</v>
      </c>
      <c r="BM77" s="217" t="str">
        <f t="shared" si="56"/>
        <v>No Prog ni Ejec</v>
      </c>
      <c r="BN77" s="217">
        <f t="shared" si="40"/>
        <v>0</v>
      </c>
      <c r="BO77" s="217" t="str">
        <f t="shared" si="41"/>
        <v>No Prog ni Ejec</v>
      </c>
      <c r="BP77" s="206"/>
      <c r="BQ77" s="277">
        <v>5</v>
      </c>
      <c r="BR77" s="218">
        <f t="shared" si="42"/>
        <v>2.3333333333333335</v>
      </c>
      <c r="BS77" s="219" t="str">
        <f t="shared" si="29"/>
        <v>Remitir informes trimestrales de los indicadores formulados y las acciones de mejoras</v>
      </c>
      <c r="BT77" s="195">
        <f t="shared" si="30"/>
        <v>0</v>
      </c>
      <c r="BU77" s="196"/>
      <c r="BV77" s="196"/>
      <c r="BW77" s="196"/>
      <c r="BX77" s="196"/>
      <c r="BY77" s="196"/>
      <c r="BZ77" s="19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row>
    <row r="78" spans="1:235" s="159" customFormat="1" ht="57" x14ac:dyDescent="0.25">
      <c r="A78" s="197">
        <v>11600</v>
      </c>
      <c r="B78" s="194" t="s">
        <v>6</v>
      </c>
      <c r="C78" s="198" t="s">
        <v>278</v>
      </c>
      <c r="D78" s="194" t="s">
        <v>147</v>
      </c>
      <c r="E78" s="198" t="s">
        <v>279</v>
      </c>
      <c r="F78" s="194" t="s">
        <v>277</v>
      </c>
      <c r="G78" s="209" t="s">
        <v>124</v>
      </c>
      <c r="H78" s="198">
        <v>1</v>
      </c>
      <c r="I78" s="198" t="s">
        <v>282</v>
      </c>
      <c r="J78" s="194" t="s">
        <v>280</v>
      </c>
      <c r="K78" s="210">
        <v>0</v>
      </c>
      <c r="L78" s="211">
        <v>1</v>
      </c>
      <c r="M78" s="194" t="s">
        <v>46</v>
      </c>
      <c r="N78" s="194" t="s">
        <v>73</v>
      </c>
      <c r="O78" s="194" t="s">
        <v>37</v>
      </c>
      <c r="P78" s="194" t="s">
        <v>40</v>
      </c>
      <c r="Q78" s="194" t="s">
        <v>228</v>
      </c>
      <c r="R78" s="194" t="s">
        <v>633</v>
      </c>
      <c r="S78" s="194" t="s">
        <v>99</v>
      </c>
      <c r="T78" s="198">
        <v>1</v>
      </c>
      <c r="U78" s="212" t="str">
        <f t="shared" si="43"/>
        <v>Desarrollo e implementación del PETI</v>
      </c>
      <c r="V78" s="213">
        <f t="shared" si="43"/>
        <v>0</v>
      </c>
      <c r="W78" s="214" t="s">
        <v>117</v>
      </c>
      <c r="X78" s="284">
        <v>0</v>
      </c>
      <c r="Y78" s="282" t="s">
        <v>280</v>
      </c>
      <c r="Z78" s="283">
        <v>0</v>
      </c>
      <c r="AA78" s="279"/>
      <c r="AB78" s="279"/>
      <c r="AC78" s="280" t="e">
        <f t="shared" si="44"/>
        <v>#DIV/0!</v>
      </c>
      <c r="AD78" s="280" t="e">
        <f t="shared" si="45"/>
        <v>#DIV/0!</v>
      </c>
      <c r="AE78" s="280">
        <f t="shared" si="31"/>
        <v>0</v>
      </c>
      <c r="AF78" s="280" t="e">
        <f t="shared" si="32"/>
        <v>#DIV/0!</v>
      </c>
      <c r="AG78" s="284">
        <v>1</v>
      </c>
      <c r="AH78" s="282" t="s">
        <v>280</v>
      </c>
      <c r="AI78" s="283">
        <v>0</v>
      </c>
      <c r="AJ78" s="279"/>
      <c r="AK78" s="279"/>
      <c r="AL78" s="280">
        <f t="shared" si="46"/>
        <v>0</v>
      </c>
      <c r="AM78" s="280" t="e">
        <f t="shared" si="33"/>
        <v>#DIV/0!</v>
      </c>
      <c r="AN78" s="280">
        <f t="shared" si="34"/>
        <v>0</v>
      </c>
      <c r="AO78" s="280" t="e">
        <f t="shared" si="35"/>
        <v>#DIV/0!</v>
      </c>
      <c r="AP78" s="284">
        <v>0</v>
      </c>
      <c r="AQ78" s="282" t="s">
        <v>280</v>
      </c>
      <c r="AR78" s="283">
        <v>0</v>
      </c>
      <c r="AS78" s="279"/>
      <c r="AT78" s="279"/>
      <c r="AU78" s="280" t="e">
        <f t="shared" si="47"/>
        <v>#DIV/0!</v>
      </c>
      <c r="AV78" s="280" t="e">
        <f t="shared" si="48"/>
        <v>#DIV/0!</v>
      </c>
      <c r="AW78" s="280">
        <f t="shared" si="49"/>
        <v>0</v>
      </c>
      <c r="AX78" s="280" t="e">
        <f t="shared" si="50"/>
        <v>#DIV/0!</v>
      </c>
      <c r="AY78" s="284">
        <v>0</v>
      </c>
      <c r="AZ78" s="282" t="s">
        <v>280</v>
      </c>
      <c r="BA78" s="283">
        <v>0</v>
      </c>
      <c r="BB78" s="279"/>
      <c r="BC78" s="279"/>
      <c r="BD78" s="281" t="e">
        <f t="shared" si="51"/>
        <v>#DIV/0!</v>
      </c>
      <c r="BE78" s="281" t="e">
        <f t="shared" si="52"/>
        <v>#DIV/0!</v>
      </c>
      <c r="BF78" s="281">
        <f t="shared" si="53"/>
        <v>0</v>
      </c>
      <c r="BG78" s="281" t="e">
        <f t="shared" si="54"/>
        <v>#DIV/0!</v>
      </c>
      <c r="BH78" s="205" t="str">
        <f t="shared" si="36"/>
        <v>No Prog ni Ejec</v>
      </c>
      <c r="BI78" s="205" t="str">
        <f t="shared" si="37"/>
        <v>No Prog ni Ejec</v>
      </c>
      <c r="BJ78" s="205">
        <f t="shared" si="38"/>
        <v>0</v>
      </c>
      <c r="BK78" s="205" t="str">
        <f t="shared" si="39"/>
        <v>No Prog ni Ejec</v>
      </c>
      <c r="BL78" s="205" t="str">
        <f t="shared" si="55"/>
        <v>No Prog ni Ejec</v>
      </c>
      <c r="BM78" s="205" t="str">
        <f t="shared" si="56"/>
        <v>No Prog ni Ejec</v>
      </c>
      <c r="BN78" s="205" t="str">
        <f t="shared" si="40"/>
        <v>No Prog ni Ejec</v>
      </c>
      <c r="BO78" s="205" t="str">
        <f t="shared" si="41"/>
        <v>No Prog ni Ejec</v>
      </c>
      <c r="BP78" s="206"/>
      <c r="BQ78" s="277">
        <v>4</v>
      </c>
      <c r="BR78" s="218">
        <f t="shared" si="42"/>
        <v>1</v>
      </c>
      <c r="BS78" s="219" t="str">
        <f t="shared" si="29"/>
        <v>Desarrollo e implementación del PETI</v>
      </c>
      <c r="BT78" s="195">
        <f t="shared" si="30"/>
        <v>0</v>
      </c>
      <c r="BU78" s="196"/>
      <c r="BV78" s="196"/>
      <c r="BW78" s="196"/>
      <c r="BX78" s="196"/>
      <c r="BY78" s="196"/>
      <c r="BZ78" s="19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row>
    <row r="79" spans="1:235" s="159" customFormat="1" ht="142.5" x14ac:dyDescent="0.25">
      <c r="A79" s="197">
        <v>11600</v>
      </c>
      <c r="B79" s="194" t="s">
        <v>6</v>
      </c>
      <c r="C79" s="198" t="s">
        <v>278</v>
      </c>
      <c r="D79" s="194" t="s">
        <v>147</v>
      </c>
      <c r="E79" s="198" t="s">
        <v>513</v>
      </c>
      <c r="F79" s="194" t="s">
        <v>283</v>
      </c>
      <c r="G79" s="209" t="s">
        <v>123</v>
      </c>
      <c r="H79" s="216">
        <v>1</v>
      </c>
      <c r="I79" s="198" t="s">
        <v>514</v>
      </c>
      <c r="J79" s="194" t="s">
        <v>281</v>
      </c>
      <c r="K79" s="210">
        <v>5073602759</v>
      </c>
      <c r="L79" s="211">
        <v>1</v>
      </c>
      <c r="M79" s="194" t="s">
        <v>46</v>
      </c>
      <c r="N79" s="194" t="s">
        <v>73</v>
      </c>
      <c r="O79" s="194" t="s">
        <v>37</v>
      </c>
      <c r="P79" s="194" t="s">
        <v>40</v>
      </c>
      <c r="Q79" s="194" t="s">
        <v>228</v>
      </c>
      <c r="R79" s="194" t="s">
        <v>634</v>
      </c>
      <c r="S79" s="194" t="s">
        <v>99</v>
      </c>
      <c r="T79" s="211">
        <v>1</v>
      </c>
      <c r="U79" s="212" t="str">
        <f t="shared" si="43"/>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V79" s="213">
        <f t="shared" si="43"/>
        <v>5073602759</v>
      </c>
      <c r="W79" s="222" t="s">
        <v>114</v>
      </c>
      <c r="X79" s="281">
        <v>0.13219897304087358</v>
      </c>
      <c r="Y79" s="282" t="s">
        <v>281</v>
      </c>
      <c r="Z79" s="283">
        <v>670725074.35714281</v>
      </c>
      <c r="AA79" s="279"/>
      <c r="AB79" s="279"/>
      <c r="AC79" s="280">
        <f t="shared" si="44"/>
        <v>0</v>
      </c>
      <c r="AD79" s="280">
        <f t="shared" si="45"/>
        <v>0</v>
      </c>
      <c r="AE79" s="280">
        <f t="shared" si="31"/>
        <v>0</v>
      </c>
      <c r="AF79" s="280">
        <f t="shared" si="32"/>
        <v>0</v>
      </c>
      <c r="AG79" s="281">
        <v>0.15915595257019777</v>
      </c>
      <c r="AH79" s="282" t="s">
        <v>281</v>
      </c>
      <c r="AI79" s="283">
        <v>807494080.07142854</v>
      </c>
      <c r="AJ79" s="279"/>
      <c r="AK79" s="279"/>
      <c r="AL79" s="280">
        <f t="shared" si="46"/>
        <v>0</v>
      </c>
      <c r="AM79" s="280">
        <f t="shared" si="33"/>
        <v>0</v>
      </c>
      <c r="AN79" s="280">
        <f t="shared" si="34"/>
        <v>0</v>
      </c>
      <c r="AO79" s="280">
        <f t="shared" si="35"/>
        <v>0</v>
      </c>
      <c r="AP79" s="281">
        <v>0.32737162236934764</v>
      </c>
      <c r="AQ79" s="282" t="s">
        <v>281</v>
      </c>
      <c r="AR79" s="283">
        <v>1660953566.4714284</v>
      </c>
      <c r="AS79" s="279"/>
      <c r="AT79" s="279"/>
      <c r="AU79" s="280">
        <f t="shared" si="47"/>
        <v>0</v>
      </c>
      <c r="AV79" s="280">
        <f t="shared" si="48"/>
        <v>0</v>
      </c>
      <c r="AW79" s="280">
        <f t="shared" si="49"/>
        <v>0</v>
      </c>
      <c r="AX79" s="280">
        <f t="shared" si="50"/>
        <v>0</v>
      </c>
      <c r="AY79" s="281">
        <v>0.38127345201958091</v>
      </c>
      <c r="AZ79" s="282" t="s">
        <v>281</v>
      </c>
      <c r="BA79" s="283">
        <v>1934430038.0999999</v>
      </c>
      <c r="BB79" s="279"/>
      <c r="BC79" s="279"/>
      <c r="BD79" s="281">
        <f t="shared" si="51"/>
        <v>0</v>
      </c>
      <c r="BE79" s="281">
        <f t="shared" si="52"/>
        <v>0</v>
      </c>
      <c r="BF79" s="281">
        <f t="shared" si="53"/>
        <v>0</v>
      </c>
      <c r="BG79" s="281">
        <f t="shared" si="54"/>
        <v>0</v>
      </c>
      <c r="BH79" s="205">
        <f t="shared" si="36"/>
        <v>0</v>
      </c>
      <c r="BI79" s="205">
        <f t="shared" si="37"/>
        <v>0</v>
      </c>
      <c r="BJ79" s="205">
        <f t="shared" si="38"/>
        <v>0</v>
      </c>
      <c r="BK79" s="205">
        <f t="shared" si="39"/>
        <v>0</v>
      </c>
      <c r="BL79" s="205">
        <f t="shared" si="55"/>
        <v>0</v>
      </c>
      <c r="BM79" s="205">
        <f t="shared" si="56"/>
        <v>0</v>
      </c>
      <c r="BN79" s="205">
        <f t="shared" si="40"/>
        <v>0</v>
      </c>
      <c r="BO79" s="205">
        <f t="shared" si="41"/>
        <v>0</v>
      </c>
      <c r="BP79" s="206"/>
      <c r="BQ79" s="277">
        <v>4</v>
      </c>
      <c r="BR79" s="208">
        <f t="shared" si="42"/>
        <v>0.40047879973418721</v>
      </c>
      <c r="BS79" s="219" t="str">
        <f t="shared" ref="BS79:BS142" si="57">+U79</f>
        <v>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
      <c r="BT79" s="195">
        <f t="shared" si="30"/>
        <v>2031870343.2523808</v>
      </c>
      <c r="BU79" s="196"/>
      <c r="BV79" s="196"/>
      <c r="BW79" s="196"/>
      <c r="BX79" s="196"/>
      <c r="BY79" s="196"/>
      <c r="BZ79" s="19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row>
    <row r="80" spans="1:235" s="153" customFormat="1" ht="71.25" x14ac:dyDescent="0.25">
      <c r="A80" s="197">
        <v>11600</v>
      </c>
      <c r="B80" s="194" t="s">
        <v>6</v>
      </c>
      <c r="C80" s="198" t="s">
        <v>278</v>
      </c>
      <c r="D80" s="194" t="s">
        <v>147</v>
      </c>
      <c r="E80" s="198" t="s">
        <v>516</v>
      </c>
      <c r="F80" s="194" t="s">
        <v>285</v>
      </c>
      <c r="G80" s="209" t="s">
        <v>123</v>
      </c>
      <c r="H80" s="216">
        <v>1</v>
      </c>
      <c r="I80" s="198" t="s">
        <v>517</v>
      </c>
      <c r="J80" s="194" t="s">
        <v>284</v>
      </c>
      <c r="K80" s="210">
        <v>1024732093</v>
      </c>
      <c r="L80" s="211">
        <v>1</v>
      </c>
      <c r="M80" s="194" t="s">
        <v>46</v>
      </c>
      <c r="N80" s="194" t="s">
        <v>73</v>
      </c>
      <c r="O80" s="194" t="s">
        <v>37</v>
      </c>
      <c r="P80" s="194" t="s">
        <v>40</v>
      </c>
      <c r="Q80" s="194" t="s">
        <v>228</v>
      </c>
      <c r="R80" s="194" t="s">
        <v>379</v>
      </c>
      <c r="S80" s="194" t="s">
        <v>99</v>
      </c>
      <c r="T80" s="211">
        <v>1</v>
      </c>
      <c r="U80" s="212" t="str">
        <f t="shared" si="43"/>
        <v>Gestionar y administrar los procesos de adquisición y actualización del licenciamiento, requerido para el desarrollo de las actividades de la Entidad.</v>
      </c>
      <c r="V80" s="213">
        <f t="shared" si="43"/>
        <v>1024732093</v>
      </c>
      <c r="W80" s="222" t="s">
        <v>114</v>
      </c>
      <c r="X80" s="216">
        <v>0</v>
      </c>
      <c r="Y80" s="214" t="s">
        <v>284</v>
      </c>
      <c r="Z80" s="210">
        <v>0</v>
      </c>
      <c r="AA80" s="196"/>
      <c r="AB80" s="196"/>
      <c r="AC80" s="204" t="e">
        <f t="shared" si="44"/>
        <v>#DIV/0!</v>
      </c>
      <c r="AD80" s="204" t="e">
        <f t="shared" si="45"/>
        <v>#DIV/0!</v>
      </c>
      <c r="AE80" s="204">
        <f t="shared" si="31"/>
        <v>0</v>
      </c>
      <c r="AF80" s="204">
        <f t="shared" si="32"/>
        <v>0</v>
      </c>
      <c r="AG80" s="216">
        <v>0.10208131541362782</v>
      </c>
      <c r="AH80" s="214" t="s">
        <v>284</v>
      </c>
      <c r="AI80" s="210">
        <v>104606000</v>
      </c>
      <c r="AJ80" s="196"/>
      <c r="AK80" s="196"/>
      <c r="AL80" s="204">
        <f t="shared" si="46"/>
        <v>0</v>
      </c>
      <c r="AM80" s="204">
        <f t="shared" si="33"/>
        <v>0</v>
      </c>
      <c r="AN80" s="204">
        <f t="shared" si="34"/>
        <v>0</v>
      </c>
      <c r="AO80" s="204">
        <f t="shared" si="35"/>
        <v>0</v>
      </c>
      <c r="AP80" s="216">
        <v>0.33293564174533957</v>
      </c>
      <c r="AQ80" s="214" t="s">
        <v>284</v>
      </c>
      <c r="AR80" s="210">
        <v>341169837</v>
      </c>
      <c r="AS80" s="196"/>
      <c r="AT80" s="196"/>
      <c r="AU80" s="204">
        <f t="shared" si="47"/>
        <v>0</v>
      </c>
      <c r="AV80" s="204">
        <f t="shared" si="48"/>
        <v>0</v>
      </c>
      <c r="AW80" s="204">
        <f t="shared" si="49"/>
        <v>0</v>
      </c>
      <c r="AX80" s="204">
        <f t="shared" si="50"/>
        <v>0</v>
      </c>
      <c r="AY80" s="216">
        <v>0.56498304284103262</v>
      </c>
      <c r="AZ80" s="214" t="s">
        <v>284</v>
      </c>
      <c r="BA80" s="210">
        <v>578956256</v>
      </c>
      <c r="BB80" s="196"/>
      <c r="BC80" s="196"/>
      <c r="BD80" s="216">
        <f t="shared" si="51"/>
        <v>0</v>
      </c>
      <c r="BE80" s="216">
        <f t="shared" si="52"/>
        <v>0</v>
      </c>
      <c r="BF80" s="216">
        <f t="shared" si="53"/>
        <v>0</v>
      </c>
      <c r="BG80" s="216">
        <f t="shared" si="54"/>
        <v>0</v>
      </c>
      <c r="BH80" s="217" t="str">
        <f t="shared" si="36"/>
        <v>No Prog ni Ejec</v>
      </c>
      <c r="BI80" s="217" t="str">
        <f t="shared" si="37"/>
        <v>No Prog ni Ejec</v>
      </c>
      <c r="BJ80" s="217">
        <f t="shared" si="38"/>
        <v>0</v>
      </c>
      <c r="BK80" s="217">
        <f t="shared" si="39"/>
        <v>0</v>
      </c>
      <c r="BL80" s="217">
        <f t="shared" si="55"/>
        <v>0</v>
      </c>
      <c r="BM80" s="217">
        <f t="shared" si="56"/>
        <v>0</v>
      </c>
      <c r="BN80" s="217">
        <f t="shared" si="40"/>
        <v>0</v>
      </c>
      <c r="BO80" s="217">
        <f t="shared" si="41"/>
        <v>0</v>
      </c>
      <c r="BP80" s="206"/>
      <c r="BQ80" s="277">
        <v>4</v>
      </c>
      <c r="BR80" s="208">
        <f t="shared" si="42"/>
        <v>0.21305986266207433</v>
      </c>
      <c r="BS80" s="219" t="str">
        <f t="shared" si="57"/>
        <v>Gestionar y administrar los procesos de adquisición y actualización del licenciamiento, requerido para el desarrollo de las actividades de la Entidad.</v>
      </c>
      <c r="BT80" s="195">
        <f t="shared" si="30"/>
        <v>218329279</v>
      </c>
      <c r="BU80" s="196"/>
      <c r="BV80" s="196"/>
      <c r="BW80" s="196"/>
      <c r="BX80" s="196"/>
      <c r="BY80" s="196"/>
      <c r="BZ80" s="19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row>
    <row r="81" spans="1:235" s="159" customFormat="1" ht="57" x14ac:dyDescent="0.25">
      <c r="A81" s="197">
        <v>11600</v>
      </c>
      <c r="B81" s="194" t="s">
        <v>6</v>
      </c>
      <c r="C81" s="198" t="s">
        <v>278</v>
      </c>
      <c r="D81" s="194" t="s">
        <v>147</v>
      </c>
      <c r="E81" s="198" t="s">
        <v>518</v>
      </c>
      <c r="F81" s="194" t="s">
        <v>287</v>
      </c>
      <c r="G81" s="209" t="s">
        <v>123</v>
      </c>
      <c r="H81" s="216">
        <v>1</v>
      </c>
      <c r="I81" s="198" t="s">
        <v>519</v>
      </c>
      <c r="J81" s="194" t="s">
        <v>287</v>
      </c>
      <c r="K81" s="210">
        <v>180000000</v>
      </c>
      <c r="L81" s="211">
        <v>1</v>
      </c>
      <c r="M81" s="194" t="s">
        <v>46</v>
      </c>
      <c r="N81" s="194" t="s">
        <v>73</v>
      </c>
      <c r="O81" s="194" t="s">
        <v>37</v>
      </c>
      <c r="P81" s="194" t="s">
        <v>40</v>
      </c>
      <c r="Q81" s="194" t="s">
        <v>228</v>
      </c>
      <c r="R81" s="194" t="s">
        <v>634</v>
      </c>
      <c r="S81" s="194" t="s">
        <v>99</v>
      </c>
      <c r="T81" s="211">
        <v>1</v>
      </c>
      <c r="U81" s="212" t="str">
        <f t="shared" si="43"/>
        <v>Adquisición de bienes y/o servicios para la seguridad de la información</v>
      </c>
      <c r="V81" s="213">
        <f t="shared" si="43"/>
        <v>180000000</v>
      </c>
      <c r="W81" s="222" t="s">
        <v>114</v>
      </c>
      <c r="X81" s="281">
        <v>0</v>
      </c>
      <c r="Y81" s="282" t="s">
        <v>287</v>
      </c>
      <c r="Z81" s="283">
        <v>0</v>
      </c>
      <c r="AA81" s="279"/>
      <c r="AB81" s="279"/>
      <c r="AC81" s="280" t="e">
        <f t="shared" si="44"/>
        <v>#DIV/0!</v>
      </c>
      <c r="AD81" s="280" t="e">
        <f t="shared" si="45"/>
        <v>#DIV/0!</v>
      </c>
      <c r="AE81" s="280">
        <f t="shared" si="31"/>
        <v>0</v>
      </c>
      <c r="AF81" s="280">
        <f t="shared" si="32"/>
        <v>0</v>
      </c>
      <c r="AG81" s="281">
        <v>0</v>
      </c>
      <c r="AH81" s="282" t="s">
        <v>287</v>
      </c>
      <c r="AI81" s="283">
        <v>0</v>
      </c>
      <c r="AJ81" s="279"/>
      <c r="AK81" s="279"/>
      <c r="AL81" s="280" t="e">
        <f t="shared" si="46"/>
        <v>#DIV/0!</v>
      </c>
      <c r="AM81" s="280" t="e">
        <f t="shared" si="33"/>
        <v>#DIV/0!</v>
      </c>
      <c r="AN81" s="280">
        <f t="shared" si="34"/>
        <v>0</v>
      </c>
      <c r="AO81" s="280">
        <f t="shared" si="35"/>
        <v>0</v>
      </c>
      <c r="AP81" s="281">
        <v>0.5</v>
      </c>
      <c r="AQ81" s="282" t="s">
        <v>287</v>
      </c>
      <c r="AR81" s="283">
        <v>90000000</v>
      </c>
      <c r="AS81" s="279"/>
      <c r="AT81" s="279"/>
      <c r="AU81" s="280">
        <f t="shared" si="47"/>
        <v>0</v>
      </c>
      <c r="AV81" s="280">
        <f t="shared" si="48"/>
        <v>0</v>
      </c>
      <c r="AW81" s="280">
        <f t="shared" si="49"/>
        <v>0</v>
      </c>
      <c r="AX81" s="280">
        <f t="shared" si="50"/>
        <v>0</v>
      </c>
      <c r="AY81" s="281">
        <v>0.5</v>
      </c>
      <c r="AZ81" s="282" t="s">
        <v>287</v>
      </c>
      <c r="BA81" s="283">
        <v>90000000</v>
      </c>
      <c r="BB81" s="279"/>
      <c r="BC81" s="279"/>
      <c r="BD81" s="281">
        <f t="shared" si="51"/>
        <v>0</v>
      </c>
      <c r="BE81" s="281">
        <f t="shared" si="52"/>
        <v>0</v>
      </c>
      <c r="BF81" s="281">
        <f t="shared" si="53"/>
        <v>0</v>
      </c>
      <c r="BG81" s="281">
        <f t="shared" si="54"/>
        <v>0</v>
      </c>
      <c r="BH81" s="205" t="str">
        <f t="shared" si="36"/>
        <v>No Prog ni Ejec</v>
      </c>
      <c r="BI81" s="205" t="str">
        <f t="shared" si="37"/>
        <v>No Prog ni Ejec</v>
      </c>
      <c r="BJ81" s="205" t="str">
        <f t="shared" si="38"/>
        <v>No Prog ni Ejec</v>
      </c>
      <c r="BK81" s="205" t="str">
        <f t="shared" si="39"/>
        <v>No Prog ni Ejec</v>
      </c>
      <c r="BL81" s="205">
        <f t="shared" si="55"/>
        <v>0</v>
      </c>
      <c r="BM81" s="205">
        <f t="shared" si="56"/>
        <v>0</v>
      </c>
      <c r="BN81" s="205">
        <f t="shared" si="40"/>
        <v>0</v>
      </c>
      <c r="BO81" s="205">
        <f t="shared" si="41"/>
        <v>0</v>
      </c>
      <c r="BP81" s="206"/>
      <c r="BQ81" s="277">
        <v>4</v>
      </c>
      <c r="BR81" s="208">
        <f t="shared" si="42"/>
        <v>0.16666666666666666</v>
      </c>
      <c r="BS81" s="219" t="str">
        <f t="shared" si="57"/>
        <v>Adquisición de bienes y/o servicios para la seguridad de la información</v>
      </c>
      <c r="BT81" s="195">
        <f t="shared" si="30"/>
        <v>30000000</v>
      </c>
      <c r="BU81" s="196"/>
      <c r="BV81" s="196"/>
      <c r="BW81" s="196"/>
      <c r="BX81" s="196"/>
      <c r="BY81" s="196"/>
      <c r="BZ81" s="19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row>
    <row r="82" spans="1:235" s="159" customFormat="1" ht="114" x14ac:dyDescent="0.25">
      <c r="A82" s="197">
        <v>11600</v>
      </c>
      <c r="B82" s="194" t="s">
        <v>6</v>
      </c>
      <c r="C82" s="198" t="s">
        <v>278</v>
      </c>
      <c r="D82" s="194" t="s">
        <v>147</v>
      </c>
      <c r="E82" s="198" t="s">
        <v>520</v>
      </c>
      <c r="F82" s="194" t="s">
        <v>562</v>
      </c>
      <c r="G82" s="209" t="s">
        <v>123</v>
      </c>
      <c r="H82" s="216">
        <v>1</v>
      </c>
      <c r="I82" s="198" t="s">
        <v>521</v>
      </c>
      <c r="J82" s="194" t="s">
        <v>635</v>
      </c>
      <c r="K82" s="210">
        <v>815594000</v>
      </c>
      <c r="L82" s="211">
        <v>1</v>
      </c>
      <c r="M82" s="194" t="s">
        <v>46</v>
      </c>
      <c r="N82" s="194" t="s">
        <v>73</v>
      </c>
      <c r="O82" s="194" t="s">
        <v>37</v>
      </c>
      <c r="P82" s="194" t="s">
        <v>40</v>
      </c>
      <c r="Q82" s="194" t="s">
        <v>228</v>
      </c>
      <c r="R82" s="194" t="s">
        <v>636</v>
      </c>
      <c r="S82" s="194" t="s">
        <v>99</v>
      </c>
      <c r="T82" s="211">
        <v>1</v>
      </c>
      <c r="U82" s="212" t="str">
        <f t="shared" si="43"/>
        <v>Implementación de estrategias, instrumentos y herramientas</v>
      </c>
      <c r="V82" s="213">
        <f t="shared" si="43"/>
        <v>815594000</v>
      </c>
      <c r="W82" s="222" t="s">
        <v>114</v>
      </c>
      <c r="X82" s="281">
        <v>7.0000000000000007E-2</v>
      </c>
      <c r="Y82" s="282" t="s">
        <v>635</v>
      </c>
      <c r="Z82" s="283">
        <f>+V82*X82</f>
        <v>57091580.000000007</v>
      </c>
      <c r="AA82" s="279"/>
      <c r="AB82" s="279"/>
      <c r="AC82" s="280">
        <f t="shared" si="44"/>
        <v>0</v>
      </c>
      <c r="AD82" s="280">
        <f t="shared" si="45"/>
        <v>0</v>
      </c>
      <c r="AE82" s="280">
        <f t="shared" si="31"/>
        <v>0</v>
      </c>
      <c r="AF82" s="280">
        <f t="shared" si="32"/>
        <v>0</v>
      </c>
      <c r="AG82" s="281">
        <v>0.27</v>
      </c>
      <c r="AH82" s="282" t="s">
        <v>635</v>
      </c>
      <c r="AI82" s="283">
        <f>+AG82*V82</f>
        <v>220210380</v>
      </c>
      <c r="AJ82" s="285"/>
      <c r="AK82" s="279"/>
      <c r="AL82" s="280">
        <f t="shared" si="46"/>
        <v>0</v>
      </c>
      <c r="AM82" s="280">
        <f t="shared" si="33"/>
        <v>0</v>
      </c>
      <c r="AN82" s="280">
        <f t="shared" si="34"/>
        <v>0</v>
      </c>
      <c r="AO82" s="280">
        <f t="shared" si="35"/>
        <v>0</v>
      </c>
      <c r="AP82" s="281">
        <v>0.35</v>
      </c>
      <c r="AQ82" s="282" t="s">
        <v>635</v>
      </c>
      <c r="AR82" s="283">
        <f>+AP82*V82</f>
        <v>285457900</v>
      </c>
      <c r="AS82" s="285"/>
      <c r="AT82" s="279"/>
      <c r="AU82" s="280">
        <f t="shared" si="47"/>
        <v>0</v>
      </c>
      <c r="AV82" s="280">
        <f t="shared" si="48"/>
        <v>0</v>
      </c>
      <c r="AW82" s="280">
        <f t="shared" si="49"/>
        <v>0</v>
      </c>
      <c r="AX82" s="280">
        <f t="shared" si="50"/>
        <v>0</v>
      </c>
      <c r="AY82" s="281">
        <v>0.31</v>
      </c>
      <c r="AZ82" s="282" t="s">
        <v>635</v>
      </c>
      <c r="BA82" s="283">
        <f>+AY82*V82</f>
        <v>252834140</v>
      </c>
      <c r="BB82" s="279"/>
      <c r="BC82" s="279"/>
      <c r="BD82" s="281">
        <f t="shared" si="51"/>
        <v>0</v>
      </c>
      <c r="BE82" s="281">
        <f t="shared" si="52"/>
        <v>0</v>
      </c>
      <c r="BF82" s="281">
        <f t="shared" si="53"/>
        <v>0</v>
      </c>
      <c r="BG82" s="281">
        <f t="shared" si="54"/>
        <v>0</v>
      </c>
      <c r="BH82" s="205">
        <f t="shared" si="36"/>
        <v>0</v>
      </c>
      <c r="BI82" s="205">
        <f t="shared" si="37"/>
        <v>0</v>
      </c>
      <c r="BJ82" s="205">
        <f t="shared" si="38"/>
        <v>0</v>
      </c>
      <c r="BK82" s="205">
        <f t="shared" si="39"/>
        <v>0</v>
      </c>
      <c r="BL82" s="205">
        <f t="shared" si="55"/>
        <v>0</v>
      </c>
      <c r="BM82" s="205">
        <f t="shared" si="56"/>
        <v>0</v>
      </c>
      <c r="BN82" s="205">
        <f t="shared" si="40"/>
        <v>0</v>
      </c>
      <c r="BO82" s="205">
        <f t="shared" si="41"/>
        <v>0</v>
      </c>
      <c r="BP82" s="206"/>
      <c r="BQ82" s="277">
        <v>4</v>
      </c>
      <c r="BR82" s="208">
        <f t="shared" si="42"/>
        <v>0.45666666666666667</v>
      </c>
      <c r="BS82" s="219" t="str">
        <f t="shared" si="57"/>
        <v>Implementación de estrategias, instrumentos y herramientas</v>
      </c>
      <c r="BT82" s="195">
        <f t="shared" si="30"/>
        <v>372454593.33333331</v>
      </c>
      <c r="BU82" s="196"/>
      <c r="BV82" s="196"/>
      <c r="BW82" s="196"/>
      <c r="BX82" s="196"/>
      <c r="BY82" s="196"/>
      <c r="BZ82" s="19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row>
    <row r="83" spans="1:235" s="156" customFormat="1" ht="57" x14ac:dyDescent="0.25">
      <c r="A83" s="197">
        <v>11600</v>
      </c>
      <c r="B83" s="194" t="s">
        <v>6</v>
      </c>
      <c r="C83" s="198" t="s">
        <v>278</v>
      </c>
      <c r="D83" s="194" t="s">
        <v>147</v>
      </c>
      <c r="E83" s="198" t="s">
        <v>515</v>
      </c>
      <c r="F83" s="194" t="s">
        <v>637</v>
      </c>
      <c r="G83" s="209" t="s">
        <v>123</v>
      </c>
      <c r="H83" s="216">
        <v>1</v>
      </c>
      <c r="I83" s="198" t="s">
        <v>522</v>
      </c>
      <c r="J83" s="194" t="s">
        <v>637</v>
      </c>
      <c r="K83" s="210">
        <v>816000000</v>
      </c>
      <c r="L83" s="211">
        <v>1</v>
      </c>
      <c r="M83" s="194" t="s">
        <v>46</v>
      </c>
      <c r="N83" s="194" t="s">
        <v>73</v>
      </c>
      <c r="O83" s="194" t="s">
        <v>37</v>
      </c>
      <c r="P83" s="194" t="s">
        <v>40</v>
      </c>
      <c r="Q83" s="194" t="s">
        <v>228</v>
      </c>
      <c r="R83" s="194" t="s">
        <v>760</v>
      </c>
      <c r="S83" s="194" t="s">
        <v>99</v>
      </c>
      <c r="T83" s="211">
        <v>1</v>
      </c>
      <c r="U83" s="212" t="str">
        <f t="shared" si="43"/>
        <v>Desarrollo de nuevos Sistemas de información</v>
      </c>
      <c r="V83" s="213">
        <f t="shared" si="43"/>
        <v>816000000</v>
      </c>
      <c r="W83" s="222" t="s">
        <v>114</v>
      </c>
      <c r="X83" s="216">
        <v>0</v>
      </c>
      <c r="Y83" s="214" t="s">
        <v>637</v>
      </c>
      <c r="Z83" s="210">
        <v>0</v>
      </c>
      <c r="AA83" s="196"/>
      <c r="AB83" s="196"/>
      <c r="AC83" s="204" t="e">
        <f t="shared" si="44"/>
        <v>#DIV/0!</v>
      </c>
      <c r="AD83" s="204" t="e">
        <f t="shared" si="45"/>
        <v>#DIV/0!</v>
      </c>
      <c r="AE83" s="204">
        <f t="shared" si="31"/>
        <v>0</v>
      </c>
      <c r="AF83" s="204">
        <f t="shared" si="32"/>
        <v>0</v>
      </c>
      <c r="AG83" s="216">
        <v>0</v>
      </c>
      <c r="AH83" s="214" t="s">
        <v>637</v>
      </c>
      <c r="AI83" s="210">
        <v>0</v>
      </c>
      <c r="AJ83" s="196"/>
      <c r="AK83" s="196"/>
      <c r="AL83" s="204" t="e">
        <f t="shared" si="46"/>
        <v>#DIV/0!</v>
      </c>
      <c r="AM83" s="204" t="e">
        <f t="shared" si="33"/>
        <v>#DIV/0!</v>
      </c>
      <c r="AN83" s="204">
        <f t="shared" si="34"/>
        <v>0</v>
      </c>
      <c r="AO83" s="204">
        <f t="shared" si="35"/>
        <v>0</v>
      </c>
      <c r="AP83" s="216">
        <v>0.5</v>
      </c>
      <c r="AQ83" s="214" t="s">
        <v>637</v>
      </c>
      <c r="AR83" s="210">
        <v>408000000</v>
      </c>
      <c r="AS83" s="196"/>
      <c r="AT83" s="196"/>
      <c r="AU83" s="204">
        <f t="shared" si="47"/>
        <v>0</v>
      </c>
      <c r="AV83" s="204">
        <f t="shared" si="48"/>
        <v>0</v>
      </c>
      <c r="AW83" s="204">
        <f t="shared" si="49"/>
        <v>0</v>
      </c>
      <c r="AX83" s="204">
        <f t="shared" si="50"/>
        <v>0</v>
      </c>
      <c r="AY83" s="216">
        <v>0.5</v>
      </c>
      <c r="AZ83" s="214" t="s">
        <v>637</v>
      </c>
      <c r="BA83" s="210">
        <v>408000000</v>
      </c>
      <c r="BB83" s="196"/>
      <c r="BC83" s="196"/>
      <c r="BD83" s="216">
        <f t="shared" si="51"/>
        <v>0</v>
      </c>
      <c r="BE83" s="216">
        <f t="shared" si="52"/>
        <v>0</v>
      </c>
      <c r="BF83" s="216">
        <f t="shared" si="53"/>
        <v>0</v>
      </c>
      <c r="BG83" s="216">
        <f t="shared" si="54"/>
        <v>0</v>
      </c>
      <c r="BH83" s="223" t="str">
        <f t="shared" si="36"/>
        <v>No Prog ni Ejec</v>
      </c>
      <c r="BI83" s="223" t="str">
        <f t="shared" si="37"/>
        <v>No Prog ni Ejec</v>
      </c>
      <c r="BJ83" s="223" t="str">
        <f t="shared" si="38"/>
        <v>No Prog ni Ejec</v>
      </c>
      <c r="BK83" s="223" t="str">
        <f t="shared" si="39"/>
        <v>No Prog ni Ejec</v>
      </c>
      <c r="BL83" s="223">
        <f t="shared" si="55"/>
        <v>0</v>
      </c>
      <c r="BM83" s="223">
        <f t="shared" si="56"/>
        <v>0</v>
      </c>
      <c r="BN83" s="223">
        <f t="shared" si="40"/>
        <v>0</v>
      </c>
      <c r="BO83" s="223">
        <f t="shared" si="41"/>
        <v>0</v>
      </c>
      <c r="BP83" s="206"/>
      <c r="BQ83" s="277">
        <v>4</v>
      </c>
      <c r="BR83" s="208">
        <f t="shared" si="42"/>
        <v>0.16666666666666666</v>
      </c>
      <c r="BS83" s="219" t="str">
        <f t="shared" si="57"/>
        <v>Desarrollo de nuevos Sistemas de información</v>
      </c>
      <c r="BT83" s="195">
        <f t="shared" si="30"/>
        <v>136000000</v>
      </c>
      <c r="BU83" s="196"/>
      <c r="BV83" s="196"/>
      <c r="BW83" s="196"/>
      <c r="BX83" s="196"/>
      <c r="BY83" s="196"/>
      <c r="BZ83" s="19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row>
    <row r="84" spans="1:235" s="153" customFormat="1" ht="57" x14ac:dyDescent="0.25">
      <c r="A84" s="197">
        <v>11600</v>
      </c>
      <c r="B84" s="194" t="s">
        <v>6</v>
      </c>
      <c r="C84" s="198" t="s">
        <v>278</v>
      </c>
      <c r="D84" s="194" t="s">
        <v>147</v>
      </c>
      <c r="E84" s="198" t="s">
        <v>523</v>
      </c>
      <c r="F84" s="194" t="s">
        <v>286</v>
      </c>
      <c r="G84" s="209" t="s">
        <v>123</v>
      </c>
      <c r="H84" s="216">
        <v>1</v>
      </c>
      <c r="I84" s="198" t="s">
        <v>524</v>
      </c>
      <c r="J84" s="194" t="s">
        <v>637</v>
      </c>
      <c r="K84" s="210">
        <v>48960000</v>
      </c>
      <c r="L84" s="211">
        <v>1</v>
      </c>
      <c r="M84" s="194" t="s">
        <v>46</v>
      </c>
      <c r="N84" s="194" t="s">
        <v>73</v>
      </c>
      <c r="O84" s="194" t="s">
        <v>37</v>
      </c>
      <c r="P84" s="194" t="s">
        <v>40</v>
      </c>
      <c r="Q84" s="194" t="s">
        <v>228</v>
      </c>
      <c r="R84" s="194" t="s">
        <v>379</v>
      </c>
      <c r="S84" s="194" t="s">
        <v>99</v>
      </c>
      <c r="T84" s="211">
        <v>1</v>
      </c>
      <c r="U84" s="212" t="str">
        <f t="shared" si="43"/>
        <v>Desarrollo de nuevos Sistemas de información</v>
      </c>
      <c r="V84" s="213">
        <f t="shared" si="43"/>
        <v>48960000</v>
      </c>
      <c r="W84" s="222" t="s">
        <v>114</v>
      </c>
      <c r="X84" s="216">
        <v>0.25</v>
      </c>
      <c r="Y84" s="214" t="s">
        <v>637</v>
      </c>
      <c r="Z84" s="210">
        <v>12240000</v>
      </c>
      <c r="AA84" s="196"/>
      <c r="AB84" s="196"/>
      <c r="AC84" s="204">
        <f t="shared" si="44"/>
        <v>0</v>
      </c>
      <c r="AD84" s="204">
        <f t="shared" si="45"/>
        <v>0</v>
      </c>
      <c r="AE84" s="204">
        <f t="shared" si="31"/>
        <v>0</v>
      </c>
      <c r="AF84" s="204">
        <f t="shared" si="32"/>
        <v>0</v>
      </c>
      <c r="AG84" s="216">
        <v>0.25</v>
      </c>
      <c r="AH84" s="214" t="s">
        <v>637</v>
      </c>
      <c r="AI84" s="210">
        <v>12240000</v>
      </c>
      <c r="AJ84" s="196"/>
      <c r="AK84" s="196"/>
      <c r="AL84" s="204">
        <f t="shared" si="46"/>
        <v>0</v>
      </c>
      <c r="AM84" s="204">
        <f t="shared" si="33"/>
        <v>0</v>
      </c>
      <c r="AN84" s="204">
        <f t="shared" si="34"/>
        <v>0</v>
      </c>
      <c r="AO84" s="204">
        <f t="shared" si="35"/>
        <v>0</v>
      </c>
      <c r="AP84" s="216">
        <v>0.25</v>
      </c>
      <c r="AQ84" s="214" t="s">
        <v>637</v>
      </c>
      <c r="AR84" s="210">
        <v>12240000</v>
      </c>
      <c r="AS84" s="196"/>
      <c r="AT84" s="196"/>
      <c r="AU84" s="204">
        <f t="shared" si="47"/>
        <v>0</v>
      </c>
      <c r="AV84" s="204">
        <f t="shared" si="48"/>
        <v>0</v>
      </c>
      <c r="AW84" s="204">
        <f t="shared" si="49"/>
        <v>0</v>
      </c>
      <c r="AX84" s="204">
        <f t="shared" si="50"/>
        <v>0</v>
      </c>
      <c r="AY84" s="216">
        <v>0.25</v>
      </c>
      <c r="AZ84" s="214" t="s">
        <v>637</v>
      </c>
      <c r="BA84" s="210">
        <v>12240000</v>
      </c>
      <c r="BB84" s="196"/>
      <c r="BC84" s="196"/>
      <c r="BD84" s="216">
        <f t="shared" si="51"/>
        <v>0</v>
      </c>
      <c r="BE84" s="216">
        <f t="shared" si="52"/>
        <v>0</v>
      </c>
      <c r="BF84" s="216">
        <f t="shared" si="53"/>
        <v>0</v>
      </c>
      <c r="BG84" s="216">
        <f t="shared" si="54"/>
        <v>0</v>
      </c>
      <c r="BH84" s="217">
        <f t="shared" si="36"/>
        <v>0</v>
      </c>
      <c r="BI84" s="217">
        <f t="shared" si="37"/>
        <v>0</v>
      </c>
      <c r="BJ84" s="217">
        <f t="shared" si="38"/>
        <v>0</v>
      </c>
      <c r="BK84" s="217">
        <f t="shared" si="39"/>
        <v>0</v>
      </c>
      <c r="BL84" s="217">
        <f t="shared" si="55"/>
        <v>0</v>
      </c>
      <c r="BM84" s="217">
        <f t="shared" si="56"/>
        <v>0</v>
      </c>
      <c r="BN84" s="217">
        <f t="shared" si="40"/>
        <v>0</v>
      </c>
      <c r="BO84" s="217">
        <f t="shared" si="41"/>
        <v>0</v>
      </c>
      <c r="BP84" s="206"/>
      <c r="BQ84" s="277">
        <v>4</v>
      </c>
      <c r="BR84" s="208">
        <f t="shared" si="42"/>
        <v>0.58333333333333337</v>
      </c>
      <c r="BS84" s="219" t="str">
        <f t="shared" si="57"/>
        <v>Desarrollo de nuevos Sistemas de información</v>
      </c>
      <c r="BT84" s="195">
        <f t="shared" si="30"/>
        <v>28560000</v>
      </c>
      <c r="BU84" s="196"/>
      <c r="BV84" s="196"/>
      <c r="BW84" s="196"/>
      <c r="BX84" s="196"/>
      <c r="BY84" s="196"/>
      <c r="BZ84" s="19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row>
    <row r="85" spans="1:235" s="153" customFormat="1" ht="57" x14ac:dyDescent="0.25">
      <c r="A85" s="197">
        <v>11600</v>
      </c>
      <c r="B85" s="194" t="s">
        <v>6</v>
      </c>
      <c r="C85" s="198" t="s">
        <v>278</v>
      </c>
      <c r="D85" s="194" t="s">
        <v>147</v>
      </c>
      <c r="E85" s="198" t="s">
        <v>525</v>
      </c>
      <c r="F85" s="194" t="s">
        <v>288</v>
      </c>
      <c r="G85" s="209" t="s">
        <v>123</v>
      </c>
      <c r="H85" s="216">
        <v>1</v>
      </c>
      <c r="I85" s="198" t="s">
        <v>526</v>
      </c>
      <c r="J85" s="194" t="s">
        <v>288</v>
      </c>
      <c r="K85" s="210">
        <v>146880000</v>
      </c>
      <c r="L85" s="211">
        <v>1</v>
      </c>
      <c r="M85" s="194" t="s">
        <v>46</v>
      </c>
      <c r="N85" s="194" t="s">
        <v>73</v>
      </c>
      <c r="O85" s="194" t="s">
        <v>37</v>
      </c>
      <c r="P85" s="194" t="s">
        <v>40</v>
      </c>
      <c r="Q85" s="194" t="s">
        <v>228</v>
      </c>
      <c r="R85" s="194" t="s">
        <v>379</v>
      </c>
      <c r="S85" s="194" t="s">
        <v>99</v>
      </c>
      <c r="T85" s="211">
        <v>1</v>
      </c>
      <c r="U85" s="212" t="str">
        <f t="shared" si="43"/>
        <v>Brindar Soporte al procesos BDUA</v>
      </c>
      <c r="V85" s="213">
        <f t="shared" si="43"/>
        <v>146880000</v>
      </c>
      <c r="W85" s="222" t="s">
        <v>114</v>
      </c>
      <c r="X85" s="216">
        <v>0.25</v>
      </c>
      <c r="Y85" s="214" t="s">
        <v>288</v>
      </c>
      <c r="Z85" s="210">
        <v>36720000</v>
      </c>
      <c r="AA85" s="196"/>
      <c r="AB85" s="196"/>
      <c r="AC85" s="204">
        <f t="shared" si="44"/>
        <v>0</v>
      </c>
      <c r="AD85" s="204">
        <f t="shared" si="45"/>
        <v>0</v>
      </c>
      <c r="AE85" s="204">
        <f t="shared" si="31"/>
        <v>0</v>
      </c>
      <c r="AF85" s="204">
        <f t="shared" si="32"/>
        <v>0</v>
      </c>
      <c r="AG85" s="216">
        <v>0.25</v>
      </c>
      <c r="AH85" s="214" t="s">
        <v>288</v>
      </c>
      <c r="AI85" s="210">
        <v>36720000</v>
      </c>
      <c r="AJ85" s="196"/>
      <c r="AK85" s="196"/>
      <c r="AL85" s="204">
        <f t="shared" si="46"/>
        <v>0</v>
      </c>
      <c r="AM85" s="204">
        <f t="shared" si="33"/>
        <v>0</v>
      </c>
      <c r="AN85" s="204">
        <f t="shared" si="34"/>
        <v>0</v>
      </c>
      <c r="AO85" s="204">
        <f t="shared" si="35"/>
        <v>0</v>
      </c>
      <c r="AP85" s="216">
        <v>0.25</v>
      </c>
      <c r="AQ85" s="214" t="s">
        <v>288</v>
      </c>
      <c r="AR85" s="210">
        <v>36720000</v>
      </c>
      <c r="AS85" s="196"/>
      <c r="AT85" s="196"/>
      <c r="AU85" s="204">
        <f t="shared" si="47"/>
        <v>0</v>
      </c>
      <c r="AV85" s="204">
        <f t="shared" si="48"/>
        <v>0</v>
      </c>
      <c r="AW85" s="204">
        <f t="shared" si="49"/>
        <v>0</v>
      </c>
      <c r="AX85" s="204">
        <f t="shared" si="50"/>
        <v>0</v>
      </c>
      <c r="AY85" s="216">
        <v>0.25</v>
      </c>
      <c r="AZ85" s="214" t="s">
        <v>288</v>
      </c>
      <c r="BA85" s="210">
        <v>36720000</v>
      </c>
      <c r="BB85" s="196"/>
      <c r="BC85" s="196"/>
      <c r="BD85" s="216">
        <f t="shared" si="51"/>
        <v>0</v>
      </c>
      <c r="BE85" s="216">
        <f t="shared" si="52"/>
        <v>0</v>
      </c>
      <c r="BF85" s="216">
        <f t="shared" si="53"/>
        <v>0</v>
      </c>
      <c r="BG85" s="216">
        <f t="shared" si="54"/>
        <v>0</v>
      </c>
      <c r="BH85" s="217">
        <f t="shared" si="36"/>
        <v>0</v>
      </c>
      <c r="BI85" s="217">
        <f t="shared" si="37"/>
        <v>0</v>
      </c>
      <c r="BJ85" s="217">
        <f t="shared" si="38"/>
        <v>0</v>
      </c>
      <c r="BK85" s="217">
        <f t="shared" si="39"/>
        <v>0</v>
      </c>
      <c r="BL85" s="217">
        <f t="shared" si="55"/>
        <v>0</v>
      </c>
      <c r="BM85" s="217">
        <f t="shared" si="56"/>
        <v>0</v>
      </c>
      <c r="BN85" s="217">
        <f t="shared" si="40"/>
        <v>0</v>
      </c>
      <c r="BO85" s="217">
        <f t="shared" si="41"/>
        <v>0</v>
      </c>
      <c r="BP85" s="206"/>
      <c r="BQ85" s="277">
        <v>4</v>
      </c>
      <c r="BR85" s="208">
        <f t="shared" si="42"/>
        <v>0.58333333333333337</v>
      </c>
      <c r="BS85" s="219" t="str">
        <f t="shared" si="57"/>
        <v>Brindar Soporte al procesos BDUA</v>
      </c>
      <c r="BT85" s="195">
        <f t="shared" si="30"/>
        <v>85680000</v>
      </c>
      <c r="BU85" s="196"/>
      <c r="BV85" s="196"/>
      <c r="BW85" s="196"/>
      <c r="BX85" s="196"/>
      <c r="BY85" s="196"/>
      <c r="BZ85" s="19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row>
    <row r="86" spans="1:235" s="153" customFormat="1" ht="57" x14ac:dyDescent="0.25">
      <c r="A86" s="197">
        <v>11600</v>
      </c>
      <c r="B86" s="194" t="s">
        <v>6</v>
      </c>
      <c r="C86" s="198" t="s">
        <v>278</v>
      </c>
      <c r="D86" s="194" t="s">
        <v>147</v>
      </c>
      <c r="E86" s="198" t="s">
        <v>527</v>
      </c>
      <c r="F86" s="194" t="s">
        <v>289</v>
      </c>
      <c r="G86" s="209" t="s">
        <v>123</v>
      </c>
      <c r="H86" s="216">
        <v>1</v>
      </c>
      <c r="I86" s="198" t="s">
        <v>528</v>
      </c>
      <c r="J86" s="194" t="s">
        <v>289</v>
      </c>
      <c r="K86" s="210">
        <v>576178068</v>
      </c>
      <c r="L86" s="211">
        <v>1</v>
      </c>
      <c r="M86" s="194" t="s">
        <v>46</v>
      </c>
      <c r="N86" s="194" t="s">
        <v>73</v>
      </c>
      <c r="O86" s="194" t="s">
        <v>37</v>
      </c>
      <c r="P86" s="194" t="s">
        <v>40</v>
      </c>
      <c r="Q86" s="194" t="s">
        <v>228</v>
      </c>
      <c r="R86" s="194" t="s">
        <v>379</v>
      </c>
      <c r="S86" s="194" t="s">
        <v>99</v>
      </c>
      <c r="T86" s="211">
        <v>1</v>
      </c>
      <c r="U86" s="212" t="str">
        <f t="shared" si="43"/>
        <v>Brindar Soporte a los sistemas de información que respaldan los procesos misionales de ADRES</v>
      </c>
      <c r="V86" s="213">
        <f t="shared" si="43"/>
        <v>576178068</v>
      </c>
      <c r="W86" s="222" t="s">
        <v>114</v>
      </c>
      <c r="X86" s="216">
        <v>0.25</v>
      </c>
      <c r="Y86" s="214" t="s">
        <v>289</v>
      </c>
      <c r="Z86" s="210">
        <v>144044517</v>
      </c>
      <c r="AA86" s="196"/>
      <c r="AB86" s="196"/>
      <c r="AC86" s="204">
        <f t="shared" si="44"/>
        <v>0</v>
      </c>
      <c r="AD86" s="204">
        <f t="shared" si="45"/>
        <v>0</v>
      </c>
      <c r="AE86" s="204">
        <f t="shared" si="31"/>
        <v>0</v>
      </c>
      <c r="AF86" s="204">
        <f t="shared" si="32"/>
        <v>0</v>
      </c>
      <c r="AG86" s="216">
        <v>0.25</v>
      </c>
      <c r="AH86" s="214" t="s">
        <v>289</v>
      </c>
      <c r="AI86" s="210">
        <v>144044517</v>
      </c>
      <c r="AJ86" s="196"/>
      <c r="AK86" s="196"/>
      <c r="AL86" s="204">
        <f t="shared" si="46"/>
        <v>0</v>
      </c>
      <c r="AM86" s="204">
        <f t="shared" si="33"/>
        <v>0</v>
      </c>
      <c r="AN86" s="204">
        <f t="shared" si="34"/>
        <v>0</v>
      </c>
      <c r="AO86" s="204">
        <f t="shared" si="35"/>
        <v>0</v>
      </c>
      <c r="AP86" s="216">
        <v>0.25</v>
      </c>
      <c r="AQ86" s="214" t="s">
        <v>289</v>
      </c>
      <c r="AR86" s="210">
        <v>144044517</v>
      </c>
      <c r="AS86" s="196"/>
      <c r="AT86" s="196"/>
      <c r="AU86" s="204">
        <f t="shared" si="47"/>
        <v>0</v>
      </c>
      <c r="AV86" s="204">
        <f t="shared" si="48"/>
        <v>0</v>
      </c>
      <c r="AW86" s="204">
        <f t="shared" si="49"/>
        <v>0</v>
      </c>
      <c r="AX86" s="204">
        <f t="shared" si="50"/>
        <v>0</v>
      </c>
      <c r="AY86" s="216">
        <v>0.25</v>
      </c>
      <c r="AZ86" s="214" t="s">
        <v>289</v>
      </c>
      <c r="BA86" s="210">
        <v>144044517</v>
      </c>
      <c r="BB86" s="196"/>
      <c r="BC86" s="196"/>
      <c r="BD86" s="216">
        <f t="shared" si="51"/>
        <v>0</v>
      </c>
      <c r="BE86" s="216">
        <f t="shared" si="52"/>
        <v>0</v>
      </c>
      <c r="BF86" s="216">
        <f t="shared" si="53"/>
        <v>0</v>
      </c>
      <c r="BG86" s="216">
        <f t="shared" si="54"/>
        <v>0</v>
      </c>
      <c r="BH86" s="217">
        <f t="shared" si="36"/>
        <v>0</v>
      </c>
      <c r="BI86" s="217">
        <f t="shared" si="37"/>
        <v>0</v>
      </c>
      <c r="BJ86" s="217">
        <f t="shared" si="38"/>
        <v>0</v>
      </c>
      <c r="BK86" s="217">
        <f t="shared" si="39"/>
        <v>0</v>
      </c>
      <c r="BL86" s="217">
        <f t="shared" si="55"/>
        <v>0</v>
      </c>
      <c r="BM86" s="217">
        <f t="shared" si="56"/>
        <v>0</v>
      </c>
      <c r="BN86" s="217">
        <f t="shared" si="40"/>
        <v>0</v>
      </c>
      <c r="BO86" s="217">
        <f t="shared" si="41"/>
        <v>0</v>
      </c>
      <c r="BP86" s="206"/>
      <c r="BQ86" s="277">
        <v>4</v>
      </c>
      <c r="BR86" s="208">
        <f t="shared" si="42"/>
        <v>0.58333333333333337</v>
      </c>
      <c r="BS86" s="219" t="str">
        <f t="shared" si="57"/>
        <v>Brindar Soporte a los sistemas de información que respaldan los procesos misionales de ADRES</v>
      </c>
      <c r="BT86" s="195">
        <f t="shared" si="30"/>
        <v>336103873</v>
      </c>
      <c r="BU86" s="196"/>
      <c r="BV86" s="196"/>
      <c r="BW86" s="196"/>
      <c r="BX86" s="196"/>
      <c r="BY86" s="196"/>
      <c r="BZ86" s="19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c r="HA86" s="146"/>
      <c r="HB86" s="146"/>
      <c r="HC86" s="146"/>
      <c r="HD86" s="146"/>
      <c r="HE86" s="146"/>
      <c r="HF86" s="146"/>
      <c r="HG86" s="146"/>
      <c r="HH86" s="146"/>
      <c r="HI86" s="146"/>
      <c r="HJ86" s="146"/>
      <c r="HK86" s="146"/>
      <c r="HL86" s="146"/>
      <c r="HM86" s="146"/>
      <c r="HN86" s="146"/>
      <c r="HO86" s="146"/>
      <c r="HP86" s="146"/>
      <c r="HQ86" s="146"/>
      <c r="HR86" s="146"/>
      <c r="HS86" s="146"/>
      <c r="HT86" s="146"/>
      <c r="HU86" s="146"/>
      <c r="HV86" s="146"/>
      <c r="HW86" s="146"/>
      <c r="HX86" s="146"/>
      <c r="HY86" s="146"/>
      <c r="HZ86" s="146"/>
      <c r="IA86" s="146"/>
    </row>
    <row r="87" spans="1:235" s="153" customFormat="1" ht="57" x14ac:dyDescent="0.25">
      <c r="A87" s="197">
        <v>11600</v>
      </c>
      <c r="B87" s="194" t="s">
        <v>6</v>
      </c>
      <c r="C87" s="198" t="s">
        <v>278</v>
      </c>
      <c r="D87" s="194" t="s">
        <v>147</v>
      </c>
      <c r="E87" s="198" t="s">
        <v>639</v>
      </c>
      <c r="F87" s="194" t="s">
        <v>640</v>
      </c>
      <c r="G87" s="209" t="s">
        <v>123</v>
      </c>
      <c r="H87" s="216">
        <v>1</v>
      </c>
      <c r="I87" s="198" t="s">
        <v>641</v>
      </c>
      <c r="J87" s="194" t="s">
        <v>642</v>
      </c>
      <c r="K87" s="210">
        <v>737488220</v>
      </c>
      <c r="L87" s="211">
        <v>1</v>
      </c>
      <c r="M87" s="194" t="s">
        <v>46</v>
      </c>
      <c r="N87" s="194" t="s">
        <v>73</v>
      </c>
      <c r="O87" s="194" t="s">
        <v>37</v>
      </c>
      <c r="P87" s="194" t="s">
        <v>40</v>
      </c>
      <c r="Q87" s="194" t="s">
        <v>228</v>
      </c>
      <c r="R87" s="194" t="s">
        <v>634</v>
      </c>
      <c r="S87" s="194" t="s">
        <v>99</v>
      </c>
      <c r="T87" s="211">
        <v>1</v>
      </c>
      <c r="U87" s="212" t="str">
        <f t="shared" si="43"/>
        <v>Suministro de Equipos de Computo a la ADRES</v>
      </c>
      <c r="V87" s="213">
        <f t="shared" si="43"/>
        <v>737488220</v>
      </c>
      <c r="W87" s="222" t="s">
        <v>114</v>
      </c>
      <c r="X87" s="216">
        <v>0.25</v>
      </c>
      <c r="Y87" s="214" t="s">
        <v>642</v>
      </c>
      <c r="Z87" s="210">
        <v>184372055</v>
      </c>
      <c r="AA87" s="196"/>
      <c r="AB87" s="196"/>
      <c r="AC87" s="204">
        <f t="shared" si="44"/>
        <v>0</v>
      </c>
      <c r="AD87" s="204">
        <f t="shared" si="45"/>
        <v>0</v>
      </c>
      <c r="AE87" s="204">
        <f t="shared" si="31"/>
        <v>0</v>
      </c>
      <c r="AF87" s="204">
        <f t="shared" si="32"/>
        <v>0</v>
      </c>
      <c r="AG87" s="216">
        <v>0.25</v>
      </c>
      <c r="AH87" s="214" t="s">
        <v>642</v>
      </c>
      <c r="AI87" s="210">
        <v>184372055</v>
      </c>
      <c r="AJ87" s="196"/>
      <c r="AK87" s="196"/>
      <c r="AL87" s="204">
        <f t="shared" si="46"/>
        <v>0</v>
      </c>
      <c r="AM87" s="204">
        <f t="shared" si="33"/>
        <v>0</v>
      </c>
      <c r="AN87" s="204">
        <f t="shared" si="34"/>
        <v>0</v>
      </c>
      <c r="AO87" s="204">
        <f t="shared" si="35"/>
        <v>0</v>
      </c>
      <c r="AP87" s="216">
        <v>0.25</v>
      </c>
      <c r="AQ87" s="214" t="s">
        <v>642</v>
      </c>
      <c r="AR87" s="210">
        <v>184372055</v>
      </c>
      <c r="AS87" s="196"/>
      <c r="AT87" s="196"/>
      <c r="AU87" s="204">
        <f t="shared" si="47"/>
        <v>0</v>
      </c>
      <c r="AV87" s="204">
        <f t="shared" si="48"/>
        <v>0</v>
      </c>
      <c r="AW87" s="204">
        <f t="shared" si="49"/>
        <v>0</v>
      </c>
      <c r="AX87" s="204">
        <f t="shared" si="50"/>
        <v>0</v>
      </c>
      <c r="AY87" s="216">
        <v>0.25</v>
      </c>
      <c r="AZ87" s="214" t="s">
        <v>642</v>
      </c>
      <c r="BA87" s="210">
        <v>184372055</v>
      </c>
      <c r="BB87" s="196"/>
      <c r="BC87" s="196"/>
      <c r="BD87" s="216">
        <f t="shared" si="51"/>
        <v>0</v>
      </c>
      <c r="BE87" s="216">
        <f t="shared" si="52"/>
        <v>0</v>
      </c>
      <c r="BF87" s="216">
        <f t="shared" si="53"/>
        <v>0</v>
      </c>
      <c r="BG87" s="216">
        <f t="shared" si="54"/>
        <v>0</v>
      </c>
      <c r="BH87" s="217">
        <f t="shared" si="36"/>
        <v>0</v>
      </c>
      <c r="BI87" s="217">
        <f t="shared" si="37"/>
        <v>0</v>
      </c>
      <c r="BJ87" s="217">
        <f t="shared" si="38"/>
        <v>0</v>
      </c>
      <c r="BK87" s="217">
        <f t="shared" si="39"/>
        <v>0</v>
      </c>
      <c r="BL87" s="217">
        <f t="shared" si="55"/>
        <v>0</v>
      </c>
      <c r="BM87" s="217">
        <f t="shared" si="56"/>
        <v>0</v>
      </c>
      <c r="BN87" s="217">
        <f t="shared" si="40"/>
        <v>0</v>
      </c>
      <c r="BO87" s="217">
        <f t="shared" si="41"/>
        <v>0</v>
      </c>
      <c r="BP87" s="206"/>
      <c r="BQ87" s="277">
        <v>4</v>
      </c>
      <c r="BR87" s="208">
        <f t="shared" si="42"/>
        <v>0.58333333333333337</v>
      </c>
      <c r="BS87" s="219" t="str">
        <f t="shared" si="57"/>
        <v>Suministro de Equipos de Computo a la ADRES</v>
      </c>
      <c r="BT87" s="195">
        <f t="shared" si="30"/>
        <v>430201461.66666669</v>
      </c>
      <c r="BU87" s="196"/>
      <c r="BV87" s="196"/>
      <c r="BW87" s="196"/>
      <c r="BX87" s="196"/>
      <c r="BY87" s="196"/>
      <c r="BZ87" s="19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c r="GH87" s="146"/>
      <c r="GI87" s="146"/>
      <c r="GJ87" s="146"/>
      <c r="GK87" s="146"/>
      <c r="GL87" s="146"/>
      <c r="GM87" s="146"/>
      <c r="GN87" s="146"/>
      <c r="GO87" s="146"/>
      <c r="GP87" s="146"/>
      <c r="GQ87" s="146"/>
      <c r="GR87" s="146"/>
      <c r="GS87" s="146"/>
      <c r="GT87" s="146"/>
      <c r="GU87" s="146"/>
      <c r="GV87" s="146"/>
      <c r="GW87" s="146"/>
      <c r="GX87" s="146"/>
      <c r="GY87" s="146"/>
      <c r="GZ87" s="146"/>
      <c r="HA87" s="146"/>
      <c r="HB87" s="146"/>
      <c r="HC87" s="146"/>
      <c r="HD87" s="146"/>
      <c r="HE87" s="146"/>
      <c r="HF87" s="146"/>
      <c r="HG87" s="146"/>
      <c r="HH87" s="146"/>
      <c r="HI87" s="146"/>
      <c r="HJ87" s="146"/>
      <c r="HK87" s="146"/>
      <c r="HL87" s="146"/>
      <c r="HM87" s="146"/>
      <c r="HN87" s="146"/>
      <c r="HO87" s="146"/>
      <c r="HP87" s="146"/>
      <c r="HQ87" s="146"/>
      <c r="HR87" s="146"/>
      <c r="HS87" s="146"/>
      <c r="HT87" s="146"/>
      <c r="HU87" s="146"/>
      <c r="HV87" s="146"/>
      <c r="HW87" s="146"/>
      <c r="HX87" s="146"/>
      <c r="HY87" s="146"/>
      <c r="HZ87" s="146"/>
      <c r="IA87" s="146"/>
    </row>
    <row r="88" spans="1:235" s="153" customFormat="1" ht="57" x14ac:dyDescent="0.25">
      <c r="A88" s="197">
        <v>11700</v>
      </c>
      <c r="B88" s="194" t="s">
        <v>29</v>
      </c>
      <c r="C88" s="198" t="s">
        <v>849</v>
      </c>
      <c r="D88" s="231" t="s">
        <v>153</v>
      </c>
      <c r="E88" s="232" t="s">
        <v>850</v>
      </c>
      <c r="F88" s="231" t="s">
        <v>133</v>
      </c>
      <c r="G88" s="233" t="s">
        <v>124</v>
      </c>
      <c r="H88" s="232">
        <v>4</v>
      </c>
      <c r="I88" s="232" t="s">
        <v>851</v>
      </c>
      <c r="J88" s="231" t="s">
        <v>24</v>
      </c>
      <c r="K88" s="234">
        <v>0</v>
      </c>
      <c r="L88" s="235">
        <v>1</v>
      </c>
      <c r="M88" s="231" t="s">
        <v>51</v>
      </c>
      <c r="N88" s="231" t="s">
        <v>68</v>
      </c>
      <c r="O88" s="231" t="s">
        <v>21</v>
      </c>
      <c r="P88" s="231" t="s">
        <v>36</v>
      </c>
      <c r="Q88" s="231" t="s">
        <v>75</v>
      </c>
      <c r="R88" s="231" t="s">
        <v>631</v>
      </c>
      <c r="S88" s="231" t="s">
        <v>98</v>
      </c>
      <c r="T88" s="232">
        <v>4</v>
      </c>
      <c r="U88" s="231" t="str">
        <f>+J88</f>
        <v>Reportar el cumplimiento del Plan de Acción de la Dependencia</v>
      </c>
      <c r="V88" s="236">
        <f>+K88</f>
        <v>0</v>
      </c>
      <c r="W88" s="237" t="s">
        <v>117</v>
      </c>
      <c r="X88" s="238">
        <v>1</v>
      </c>
      <c r="Y88" s="231" t="s">
        <v>24</v>
      </c>
      <c r="Z88" s="234">
        <v>0</v>
      </c>
      <c r="AA88" s="239"/>
      <c r="AB88" s="237"/>
      <c r="AC88" s="240">
        <f>+(AA88/X88)</f>
        <v>0</v>
      </c>
      <c r="AD88" s="240" t="e">
        <f>+(AB88/Z88)</f>
        <v>#DIV/0!</v>
      </c>
      <c r="AE88" s="240">
        <f>+(AA88/T88)</f>
        <v>0</v>
      </c>
      <c r="AF88" s="240" t="e">
        <f>+(AB88/V88)</f>
        <v>#DIV/0!</v>
      </c>
      <c r="AG88" s="238">
        <v>1</v>
      </c>
      <c r="AH88" s="231" t="s">
        <v>24</v>
      </c>
      <c r="AI88" s="234">
        <v>0</v>
      </c>
      <c r="AJ88" s="239"/>
      <c r="AK88" s="239"/>
      <c r="AL88" s="240">
        <f>+(AJ88/AG88)</f>
        <v>0</v>
      </c>
      <c r="AM88" s="240" t="e">
        <f>+(AK88/AI88)</f>
        <v>#DIV/0!</v>
      </c>
      <c r="AN88" s="240">
        <f>+(AJ88+AA88)/T88</f>
        <v>0</v>
      </c>
      <c r="AO88" s="240" t="e">
        <f>+(AK88+AB88)/V88</f>
        <v>#DIV/0!</v>
      </c>
      <c r="AP88" s="238">
        <v>1</v>
      </c>
      <c r="AQ88" s="231" t="s">
        <v>24</v>
      </c>
      <c r="AR88" s="234">
        <v>0</v>
      </c>
      <c r="AS88" s="239"/>
      <c r="AT88" s="239"/>
      <c r="AU88" s="240">
        <f>+(AS88/AP88)</f>
        <v>0</v>
      </c>
      <c r="AV88" s="240" t="e">
        <f>+(AT88/AR88)</f>
        <v>#DIV/0!</v>
      </c>
      <c r="AW88" s="240">
        <f>+(AJ88+AA88+AS88)/T88</f>
        <v>0</v>
      </c>
      <c r="AX88" s="240" t="e">
        <f>+(AK88+AB88+AT88)/V88</f>
        <v>#DIV/0!</v>
      </c>
      <c r="AY88" s="238">
        <v>1</v>
      </c>
      <c r="AZ88" s="231" t="s">
        <v>24</v>
      </c>
      <c r="BA88" s="234">
        <v>0</v>
      </c>
      <c r="BB88" s="239"/>
      <c r="BC88" s="239"/>
      <c r="BD88" s="240">
        <f>+(BB88/AY88)</f>
        <v>0</v>
      </c>
      <c r="BE88" s="240" t="e">
        <f>+(BC88/BA88)</f>
        <v>#DIV/0!</v>
      </c>
      <c r="BF88" s="240">
        <f>+(AJ88+AA88+AS88+BB88)/T88</f>
        <v>0</v>
      </c>
      <c r="BG88" s="240" t="e">
        <f>+(AK88+AB88+AT88+BC88)/V88</f>
        <v>#DIV/0!</v>
      </c>
      <c r="BH88" s="241"/>
      <c r="BI88" s="241"/>
      <c r="BJ88" s="241"/>
      <c r="BK88" s="241"/>
      <c r="BL88" s="241"/>
      <c r="BM88" s="241"/>
      <c r="BN88" s="241"/>
      <c r="BO88" s="241"/>
      <c r="BP88" s="242"/>
      <c r="BQ88" s="277">
        <v>5</v>
      </c>
      <c r="BR88" s="218">
        <f t="shared" si="42"/>
        <v>2.3333333333333335</v>
      </c>
      <c r="BS88" s="219" t="str">
        <f t="shared" si="57"/>
        <v>Reportar el cumplimiento del Plan de Acción de la Dependencia</v>
      </c>
      <c r="BT88" s="195">
        <f t="shared" si="30"/>
        <v>0</v>
      </c>
      <c r="BU88" s="196"/>
      <c r="BV88" s="196"/>
      <c r="BW88" s="196"/>
      <c r="BX88" s="196"/>
      <c r="BY88" s="196"/>
      <c r="BZ88" s="19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c r="FC88" s="146"/>
      <c r="FD88" s="146"/>
      <c r="FE88" s="146"/>
      <c r="FF88" s="146"/>
      <c r="FG88" s="146"/>
      <c r="FH88" s="146"/>
      <c r="FI88" s="146"/>
      <c r="FJ88" s="146"/>
      <c r="FK88" s="146"/>
      <c r="FL88" s="146"/>
      <c r="FM88" s="146"/>
      <c r="FN88" s="146"/>
      <c r="FO88" s="146"/>
      <c r="FP88" s="146"/>
      <c r="FQ88" s="146"/>
      <c r="FR88" s="146"/>
      <c r="FS88" s="146"/>
      <c r="FT88" s="146"/>
      <c r="FU88" s="146"/>
      <c r="FV88" s="146"/>
      <c r="FW88" s="146"/>
      <c r="FX88" s="146"/>
      <c r="FY88" s="146"/>
      <c r="FZ88" s="146"/>
      <c r="GA88" s="146"/>
      <c r="GB88" s="146"/>
      <c r="GC88" s="146"/>
      <c r="GD88" s="146"/>
      <c r="GE88" s="146"/>
      <c r="GF88" s="146"/>
      <c r="GG88" s="146"/>
      <c r="GH88" s="146"/>
      <c r="GI88" s="146"/>
      <c r="GJ88" s="146"/>
      <c r="GK88" s="146"/>
      <c r="GL88" s="146"/>
      <c r="GM88" s="146"/>
      <c r="GN88" s="146"/>
      <c r="GO88" s="146"/>
      <c r="GP88" s="146"/>
      <c r="GQ88" s="146"/>
      <c r="GR88" s="146"/>
      <c r="GS88" s="146"/>
      <c r="GT88" s="146"/>
      <c r="GU88" s="146"/>
      <c r="GV88" s="146"/>
      <c r="GW88" s="146"/>
      <c r="GX88" s="146"/>
      <c r="GY88" s="146"/>
      <c r="GZ88" s="146"/>
      <c r="HA88" s="146"/>
      <c r="HB88" s="146"/>
      <c r="HC88" s="146"/>
      <c r="HD88" s="146"/>
      <c r="HE88" s="146"/>
      <c r="HF88" s="146"/>
      <c r="HG88" s="146"/>
      <c r="HH88" s="146"/>
      <c r="HI88" s="146"/>
      <c r="HJ88" s="146"/>
      <c r="HK88" s="146"/>
      <c r="HL88" s="146"/>
      <c r="HM88" s="146"/>
      <c r="HN88" s="146"/>
      <c r="HO88" s="146"/>
      <c r="HP88" s="146"/>
      <c r="HQ88" s="146"/>
      <c r="HR88" s="146"/>
      <c r="HS88" s="146"/>
      <c r="HT88" s="146"/>
      <c r="HU88" s="146"/>
      <c r="HV88" s="146"/>
      <c r="HW88" s="146"/>
      <c r="HX88" s="146"/>
      <c r="HY88" s="146"/>
      <c r="HZ88" s="146"/>
      <c r="IA88" s="146"/>
    </row>
    <row r="89" spans="1:235" s="153" customFormat="1" ht="99.75" x14ac:dyDescent="0.25">
      <c r="A89" s="197">
        <v>11700</v>
      </c>
      <c r="B89" s="194" t="s">
        <v>29</v>
      </c>
      <c r="C89" s="198" t="s">
        <v>328</v>
      </c>
      <c r="D89" s="194" t="s">
        <v>256</v>
      </c>
      <c r="E89" s="198" t="s">
        <v>329</v>
      </c>
      <c r="F89" s="194" t="s">
        <v>159</v>
      </c>
      <c r="G89" s="209" t="s">
        <v>123</v>
      </c>
      <c r="H89" s="216">
        <v>1</v>
      </c>
      <c r="I89" s="198" t="s">
        <v>331</v>
      </c>
      <c r="J89" s="194" t="s">
        <v>156</v>
      </c>
      <c r="K89" s="210">
        <v>0</v>
      </c>
      <c r="L89" s="211">
        <v>1</v>
      </c>
      <c r="M89" s="194" t="s">
        <v>51</v>
      </c>
      <c r="N89" s="194" t="s">
        <v>68</v>
      </c>
      <c r="O89" s="194" t="s">
        <v>21</v>
      </c>
      <c r="P89" s="194" t="s">
        <v>36</v>
      </c>
      <c r="Q89" s="194" t="s">
        <v>75</v>
      </c>
      <c r="R89" s="194" t="s">
        <v>672</v>
      </c>
      <c r="S89" s="194" t="s">
        <v>98</v>
      </c>
      <c r="T89" s="211">
        <v>1</v>
      </c>
      <c r="U89" s="212" t="str">
        <f t="shared" si="43"/>
        <v>Formular los proceso y procedimientos en el marco del MIPG</v>
      </c>
      <c r="V89" s="213">
        <f t="shared" si="43"/>
        <v>0</v>
      </c>
      <c r="W89" s="214" t="s">
        <v>117</v>
      </c>
      <c r="X89" s="216">
        <v>0.25</v>
      </c>
      <c r="Y89" s="214" t="s">
        <v>156</v>
      </c>
      <c r="Z89" s="210">
        <v>0</v>
      </c>
      <c r="AA89" s="196"/>
      <c r="AB89" s="196"/>
      <c r="AC89" s="204">
        <f t="shared" si="44"/>
        <v>0</v>
      </c>
      <c r="AD89" s="204" t="e">
        <f t="shared" si="45"/>
        <v>#DIV/0!</v>
      </c>
      <c r="AE89" s="204">
        <f t="shared" si="31"/>
        <v>0</v>
      </c>
      <c r="AF89" s="204" t="e">
        <f t="shared" si="32"/>
        <v>#DIV/0!</v>
      </c>
      <c r="AG89" s="216">
        <v>0.25</v>
      </c>
      <c r="AH89" s="214" t="s">
        <v>156</v>
      </c>
      <c r="AI89" s="210">
        <v>0</v>
      </c>
      <c r="AJ89" s="196"/>
      <c r="AK89" s="196"/>
      <c r="AL89" s="204">
        <f t="shared" si="46"/>
        <v>0</v>
      </c>
      <c r="AM89" s="204" t="e">
        <f t="shared" si="33"/>
        <v>#DIV/0!</v>
      </c>
      <c r="AN89" s="204">
        <f t="shared" si="34"/>
        <v>0</v>
      </c>
      <c r="AO89" s="204" t="e">
        <f t="shared" si="35"/>
        <v>#DIV/0!</v>
      </c>
      <c r="AP89" s="216">
        <v>0.25</v>
      </c>
      <c r="AQ89" s="214" t="s">
        <v>156</v>
      </c>
      <c r="AR89" s="210">
        <v>0</v>
      </c>
      <c r="AS89" s="196"/>
      <c r="AT89" s="196"/>
      <c r="AU89" s="204">
        <f t="shared" si="47"/>
        <v>0</v>
      </c>
      <c r="AV89" s="204" t="e">
        <f t="shared" si="48"/>
        <v>#DIV/0!</v>
      </c>
      <c r="AW89" s="204">
        <f t="shared" si="49"/>
        <v>0</v>
      </c>
      <c r="AX89" s="204" t="e">
        <f t="shared" si="50"/>
        <v>#DIV/0!</v>
      </c>
      <c r="AY89" s="216">
        <v>0.25</v>
      </c>
      <c r="AZ89" s="214" t="s">
        <v>156</v>
      </c>
      <c r="BA89" s="210">
        <v>0</v>
      </c>
      <c r="BB89" s="196"/>
      <c r="BC89" s="196"/>
      <c r="BD89" s="216">
        <f t="shared" si="51"/>
        <v>0</v>
      </c>
      <c r="BE89" s="216" t="e">
        <f t="shared" si="52"/>
        <v>#DIV/0!</v>
      </c>
      <c r="BF89" s="216">
        <f t="shared" si="53"/>
        <v>0</v>
      </c>
      <c r="BG89" s="216" t="e">
        <f t="shared" si="54"/>
        <v>#DIV/0!</v>
      </c>
      <c r="BH89" s="217">
        <f t="shared" si="36"/>
        <v>0</v>
      </c>
      <c r="BI89" s="217" t="str">
        <f t="shared" si="37"/>
        <v>No Prog ni Ejec</v>
      </c>
      <c r="BJ89" s="217">
        <f t="shared" si="38"/>
        <v>0</v>
      </c>
      <c r="BK89" s="217" t="str">
        <f t="shared" si="39"/>
        <v>No Prog ni Ejec</v>
      </c>
      <c r="BL89" s="217">
        <f t="shared" si="55"/>
        <v>0</v>
      </c>
      <c r="BM89" s="217" t="str">
        <f t="shared" si="56"/>
        <v>No Prog ni Ejec</v>
      </c>
      <c r="BN89" s="217">
        <f t="shared" si="40"/>
        <v>0</v>
      </c>
      <c r="BO89" s="217" t="str">
        <f t="shared" si="41"/>
        <v>No Prog ni Ejec</v>
      </c>
      <c r="BP89" s="206"/>
      <c r="BQ89" s="277">
        <v>5</v>
      </c>
      <c r="BR89" s="208">
        <f t="shared" si="42"/>
        <v>0.58333333333333337</v>
      </c>
      <c r="BS89" s="219" t="str">
        <f t="shared" si="57"/>
        <v>Formular los proceso y procedimientos en el marco del MIPG</v>
      </c>
      <c r="BT89" s="195">
        <f t="shared" si="30"/>
        <v>0</v>
      </c>
      <c r="BU89" s="196"/>
      <c r="BV89" s="196"/>
      <c r="BW89" s="196"/>
      <c r="BX89" s="196"/>
      <c r="BY89" s="196"/>
      <c r="BZ89" s="19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c r="HL89" s="146"/>
      <c r="HM89" s="146"/>
      <c r="HN89" s="146"/>
      <c r="HO89" s="146"/>
      <c r="HP89" s="146"/>
      <c r="HQ89" s="146"/>
      <c r="HR89" s="146"/>
      <c r="HS89" s="146"/>
      <c r="HT89" s="146"/>
      <c r="HU89" s="146"/>
      <c r="HV89" s="146"/>
      <c r="HW89" s="146"/>
      <c r="HX89" s="146"/>
      <c r="HY89" s="146"/>
      <c r="HZ89" s="146"/>
      <c r="IA89" s="146"/>
    </row>
    <row r="90" spans="1:235" s="153" customFormat="1" ht="99.75" x14ac:dyDescent="0.25">
      <c r="A90" s="197">
        <v>11700</v>
      </c>
      <c r="B90" s="194" t="s">
        <v>29</v>
      </c>
      <c r="C90" s="198" t="s">
        <v>328</v>
      </c>
      <c r="D90" s="194" t="s">
        <v>256</v>
      </c>
      <c r="E90" s="198" t="s">
        <v>330</v>
      </c>
      <c r="F90" s="194" t="s">
        <v>127</v>
      </c>
      <c r="G90" s="209" t="s">
        <v>123</v>
      </c>
      <c r="H90" s="211">
        <v>1</v>
      </c>
      <c r="I90" s="198" t="s">
        <v>332</v>
      </c>
      <c r="J90" s="194" t="s">
        <v>128</v>
      </c>
      <c r="K90" s="210">
        <v>0</v>
      </c>
      <c r="L90" s="211">
        <v>1</v>
      </c>
      <c r="M90" s="194" t="s">
        <v>51</v>
      </c>
      <c r="N90" s="194" t="s">
        <v>68</v>
      </c>
      <c r="O90" s="194" t="s">
        <v>21</v>
      </c>
      <c r="P90" s="194" t="s">
        <v>36</v>
      </c>
      <c r="Q90" s="194" t="s">
        <v>75</v>
      </c>
      <c r="R90" s="194" t="s">
        <v>570</v>
      </c>
      <c r="S90" s="194" t="s">
        <v>98</v>
      </c>
      <c r="T90" s="211">
        <v>1</v>
      </c>
      <c r="U90" s="212" t="str">
        <f t="shared" si="43"/>
        <v>Remitir informes trimestrales de los indicadores formulados y las acciones de mejoras</v>
      </c>
      <c r="V90" s="213">
        <f t="shared" si="43"/>
        <v>0</v>
      </c>
      <c r="W90" s="214" t="s">
        <v>117</v>
      </c>
      <c r="X90" s="216">
        <v>0</v>
      </c>
      <c r="Y90" s="214" t="s">
        <v>128</v>
      </c>
      <c r="Z90" s="210">
        <v>0</v>
      </c>
      <c r="AA90" s="196"/>
      <c r="AB90" s="196"/>
      <c r="AC90" s="204" t="e">
        <f t="shared" si="44"/>
        <v>#DIV/0!</v>
      </c>
      <c r="AD90" s="204" t="e">
        <f t="shared" si="45"/>
        <v>#DIV/0!</v>
      </c>
      <c r="AE90" s="204">
        <f t="shared" si="31"/>
        <v>0</v>
      </c>
      <c r="AF90" s="204" t="e">
        <f t="shared" si="32"/>
        <v>#DIV/0!</v>
      </c>
      <c r="AG90" s="216">
        <v>0</v>
      </c>
      <c r="AH90" s="214" t="s">
        <v>128</v>
      </c>
      <c r="AI90" s="210">
        <v>0</v>
      </c>
      <c r="AJ90" s="196"/>
      <c r="AK90" s="196"/>
      <c r="AL90" s="204" t="e">
        <f t="shared" si="46"/>
        <v>#DIV/0!</v>
      </c>
      <c r="AM90" s="204" t="e">
        <f t="shared" si="33"/>
        <v>#DIV/0!</v>
      </c>
      <c r="AN90" s="204">
        <f t="shared" si="34"/>
        <v>0</v>
      </c>
      <c r="AO90" s="204" t="e">
        <f t="shared" si="35"/>
        <v>#DIV/0!</v>
      </c>
      <c r="AP90" s="216">
        <v>0</v>
      </c>
      <c r="AQ90" s="214" t="s">
        <v>128</v>
      </c>
      <c r="AR90" s="210">
        <v>0</v>
      </c>
      <c r="AS90" s="196"/>
      <c r="AT90" s="196"/>
      <c r="AU90" s="204" t="e">
        <f t="shared" si="47"/>
        <v>#DIV/0!</v>
      </c>
      <c r="AV90" s="204" t="e">
        <f t="shared" si="48"/>
        <v>#DIV/0!</v>
      </c>
      <c r="AW90" s="204">
        <f t="shared" si="49"/>
        <v>0</v>
      </c>
      <c r="AX90" s="204" t="e">
        <f t="shared" si="50"/>
        <v>#DIV/0!</v>
      </c>
      <c r="AY90" s="216">
        <v>1</v>
      </c>
      <c r="AZ90" s="214" t="s">
        <v>128</v>
      </c>
      <c r="BA90" s="210">
        <v>0</v>
      </c>
      <c r="BB90" s="196"/>
      <c r="BC90" s="196"/>
      <c r="BD90" s="216">
        <f t="shared" si="51"/>
        <v>0</v>
      </c>
      <c r="BE90" s="216" t="e">
        <f t="shared" si="52"/>
        <v>#DIV/0!</v>
      </c>
      <c r="BF90" s="216">
        <f t="shared" si="53"/>
        <v>0</v>
      </c>
      <c r="BG90" s="216" t="e">
        <f t="shared" si="54"/>
        <v>#DIV/0!</v>
      </c>
      <c r="BH90" s="217" t="str">
        <f t="shared" si="36"/>
        <v>No Prog ni Ejec</v>
      </c>
      <c r="BI90" s="217" t="str">
        <f t="shared" si="37"/>
        <v>No Prog ni Ejec</v>
      </c>
      <c r="BJ90" s="217" t="str">
        <f t="shared" si="38"/>
        <v>No Prog ni Ejec</v>
      </c>
      <c r="BK90" s="217" t="str">
        <f t="shared" si="39"/>
        <v>No Prog ni Ejec</v>
      </c>
      <c r="BL90" s="217" t="str">
        <f t="shared" si="55"/>
        <v>No Prog ni Ejec</v>
      </c>
      <c r="BM90" s="217" t="str">
        <f t="shared" si="56"/>
        <v>No Prog ni Ejec</v>
      </c>
      <c r="BN90" s="217">
        <f t="shared" si="40"/>
        <v>0</v>
      </c>
      <c r="BO90" s="217" t="str">
        <f t="shared" si="41"/>
        <v>No Prog ni Ejec</v>
      </c>
      <c r="BP90" s="206"/>
      <c r="BQ90" s="277">
        <v>5</v>
      </c>
      <c r="BR90" s="208">
        <f t="shared" si="42"/>
        <v>0</v>
      </c>
      <c r="BS90" s="219" t="str">
        <f t="shared" si="57"/>
        <v>Remitir informes trimestrales de los indicadores formulados y las acciones de mejoras</v>
      </c>
      <c r="BT90" s="195">
        <f t="shared" si="30"/>
        <v>0</v>
      </c>
      <c r="BU90" s="196"/>
      <c r="BV90" s="196"/>
      <c r="BW90" s="196"/>
      <c r="BX90" s="196"/>
      <c r="BY90" s="196"/>
      <c r="BZ90" s="19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6"/>
      <c r="HL90" s="146"/>
      <c r="HM90" s="146"/>
      <c r="HN90" s="146"/>
      <c r="HO90" s="146"/>
      <c r="HP90" s="146"/>
      <c r="HQ90" s="146"/>
      <c r="HR90" s="146"/>
      <c r="HS90" s="146"/>
      <c r="HT90" s="146"/>
      <c r="HU90" s="146"/>
      <c r="HV90" s="146"/>
      <c r="HW90" s="146"/>
      <c r="HX90" s="146"/>
      <c r="HY90" s="146"/>
      <c r="HZ90" s="146"/>
      <c r="IA90" s="146"/>
    </row>
    <row r="91" spans="1:235" s="159" customFormat="1" ht="99.75" x14ac:dyDescent="0.25">
      <c r="A91" s="197">
        <v>11700</v>
      </c>
      <c r="B91" s="194" t="s">
        <v>29</v>
      </c>
      <c r="C91" s="198" t="s">
        <v>328</v>
      </c>
      <c r="D91" s="194" t="s">
        <v>256</v>
      </c>
      <c r="E91" s="198" t="s">
        <v>376</v>
      </c>
      <c r="F91" s="194" t="s">
        <v>380</v>
      </c>
      <c r="G91" s="209" t="s">
        <v>123</v>
      </c>
      <c r="H91" s="216">
        <v>1</v>
      </c>
      <c r="I91" s="198" t="s">
        <v>377</v>
      </c>
      <c r="J91" s="194" t="s">
        <v>378</v>
      </c>
      <c r="K91" s="210">
        <v>27749428000</v>
      </c>
      <c r="L91" s="211">
        <v>1</v>
      </c>
      <c r="M91" s="194" t="s">
        <v>46</v>
      </c>
      <c r="N91" s="194" t="s">
        <v>68</v>
      </c>
      <c r="O91" s="194" t="s">
        <v>37</v>
      </c>
      <c r="P91" s="194" t="s">
        <v>38</v>
      </c>
      <c r="Q91" s="194" t="s">
        <v>219</v>
      </c>
      <c r="R91" s="194" t="s">
        <v>182</v>
      </c>
      <c r="S91" s="194" t="s">
        <v>99</v>
      </c>
      <c r="T91" s="211">
        <v>1</v>
      </c>
      <c r="U91" s="212" t="str">
        <f t="shared" si="43"/>
        <v>Efectuar los tramites asociados al pago de nomina de los funcionarios de la ADRES</v>
      </c>
      <c r="V91" s="213">
        <f t="shared" si="43"/>
        <v>27749428000</v>
      </c>
      <c r="W91" s="222" t="s">
        <v>114</v>
      </c>
      <c r="X91" s="281">
        <v>0.25</v>
      </c>
      <c r="Y91" s="282" t="s">
        <v>378</v>
      </c>
      <c r="Z91" s="283">
        <v>6937357000</v>
      </c>
      <c r="AA91" s="279"/>
      <c r="AB91" s="279"/>
      <c r="AC91" s="280">
        <f>+(AA91/X91)</f>
        <v>0</v>
      </c>
      <c r="AD91" s="280">
        <f t="shared" si="45"/>
        <v>0</v>
      </c>
      <c r="AE91" s="280">
        <f t="shared" si="31"/>
        <v>0</v>
      </c>
      <c r="AF91" s="280">
        <f t="shared" si="32"/>
        <v>0</v>
      </c>
      <c r="AG91" s="281">
        <v>0.25</v>
      </c>
      <c r="AH91" s="282" t="s">
        <v>378</v>
      </c>
      <c r="AI91" s="283">
        <v>6937357000</v>
      </c>
      <c r="AJ91" s="279"/>
      <c r="AK91" s="279"/>
      <c r="AL91" s="280">
        <f t="shared" si="46"/>
        <v>0</v>
      </c>
      <c r="AM91" s="280">
        <f t="shared" si="33"/>
        <v>0</v>
      </c>
      <c r="AN91" s="280">
        <f t="shared" si="34"/>
        <v>0</v>
      </c>
      <c r="AO91" s="280">
        <f t="shared" si="35"/>
        <v>0</v>
      </c>
      <c r="AP91" s="281">
        <v>0.25</v>
      </c>
      <c r="AQ91" s="282" t="s">
        <v>378</v>
      </c>
      <c r="AR91" s="283">
        <v>6937357000</v>
      </c>
      <c r="AS91" s="279"/>
      <c r="AT91" s="279"/>
      <c r="AU91" s="280">
        <f t="shared" si="47"/>
        <v>0</v>
      </c>
      <c r="AV91" s="280">
        <f t="shared" si="48"/>
        <v>0</v>
      </c>
      <c r="AW91" s="280">
        <f t="shared" si="49"/>
        <v>0</v>
      </c>
      <c r="AX91" s="280">
        <f t="shared" si="50"/>
        <v>0</v>
      </c>
      <c r="AY91" s="281">
        <v>0.25</v>
      </c>
      <c r="AZ91" s="282" t="s">
        <v>378</v>
      </c>
      <c r="BA91" s="283">
        <v>6937357000</v>
      </c>
      <c r="BB91" s="279"/>
      <c r="BC91" s="279"/>
      <c r="BD91" s="281">
        <f t="shared" si="51"/>
        <v>0</v>
      </c>
      <c r="BE91" s="281">
        <f t="shared" si="52"/>
        <v>0</v>
      </c>
      <c r="BF91" s="281">
        <f t="shared" si="53"/>
        <v>0</v>
      </c>
      <c r="BG91" s="281">
        <f t="shared" si="54"/>
        <v>0</v>
      </c>
      <c r="BH91" s="205">
        <f>IF(AND(X91=0,AA91=0),"No Prog ni Ejec",IF(X91=0,CONCATENATE("No Prog, Ejec=  ",AA91),AA91/X91))</f>
        <v>0</v>
      </c>
      <c r="BI91" s="205">
        <f t="shared" si="37"/>
        <v>0</v>
      </c>
      <c r="BJ91" s="205">
        <f t="shared" si="38"/>
        <v>0</v>
      </c>
      <c r="BK91" s="205">
        <f t="shared" si="39"/>
        <v>0</v>
      </c>
      <c r="BL91" s="205">
        <f t="shared" si="55"/>
        <v>0</v>
      </c>
      <c r="BM91" s="205">
        <f t="shared" si="56"/>
        <v>0</v>
      </c>
      <c r="BN91" s="205">
        <f t="shared" si="40"/>
        <v>0</v>
      </c>
      <c r="BO91" s="205">
        <f t="shared" si="41"/>
        <v>0</v>
      </c>
      <c r="BP91" s="206"/>
      <c r="BQ91" s="277">
        <v>7</v>
      </c>
      <c r="BR91" s="208">
        <f t="shared" si="42"/>
        <v>0.58333333333333337</v>
      </c>
      <c r="BS91" s="219" t="str">
        <f t="shared" si="57"/>
        <v>Efectuar los tramites asociados al pago de nomina de los funcionarios de la ADRES</v>
      </c>
      <c r="BT91" s="195">
        <f t="shared" si="30"/>
        <v>16187166333.333334</v>
      </c>
      <c r="BU91" s="196"/>
      <c r="BV91" s="196"/>
      <c r="BW91" s="196"/>
      <c r="BX91" s="196"/>
      <c r="BY91" s="196"/>
      <c r="BZ91" s="19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c r="GU91" s="146"/>
      <c r="GV91" s="146"/>
      <c r="GW91" s="146"/>
      <c r="GX91" s="146"/>
      <c r="GY91" s="146"/>
      <c r="GZ91" s="146"/>
      <c r="HA91" s="146"/>
      <c r="HB91" s="146"/>
      <c r="HC91" s="146"/>
      <c r="HD91" s="146"/>
      <c r="HE91" s="146"/>
      <c r="HF91" s="146"/>
      <c r="HG91" s="146"/>
      <c r="HH91" s="146"/>
      <c r="HI91" s="146"/>
      <c r="HJ91" s="146"/>
      <c r="HK91" s="146"/>
      <c r="HL91" s="146"/>
      <c r="HM91" s="146"/>
      <c r="HN91" s="146"/>
      <c r="HO91" s="146"/>
      <c r="HP91" s="146"/>
      <c r="HQ91" s="146"/>
      <c r="HR91" s="146"/>
      <c r="HS91" s="146"/>
      <c r="HT91" s="146"/>
      <c r="HU91" s="146"/>
      <c r="HV91" s="146"/>
      <c r="HW91" s="146"/>
      <c r="HX91" s="146"/>
      <c r="HY91" s="146"/>
      <c r="HZ91" s="146"/>
      <c r="IA91" s="146"/>
    </row>
    <row r="92" spans="1:235" s="159" customFormat="1" ht="99.75" x14ac:dyDescent="0.25">
      <c r="A92" s="197">
        <v>11700</v>
      </c>
      <c r="B92" s="194" t="s">
        <v>29</v>
      </c>
      <c r="C92" s="198" t="s">
        <v>328</v>
      </c>
      <c r="D92" s="194" t="s">
        <v>256</v>
      </c>
      <c r="E92" s="198" t="s">
        <v>330</v>
      </c>
      <c r="F92" s="194" t="s">
        <v>380</v>
      </c>
      <c r="G92" s="209" t="s">
        <v>123</v>
      </c>
      <c r="H92" s="216">
        <v>1</v>
      </c>
      <c r="I92" s="198" t="s">
        <v>751</v>
      </c>
      <c r="J92" s="194" t="s">
        <v>752</v>
      </c>
      <c r="K92" s="210">
        <v>1000000000</v>
      </c>
      <c r="L92" s="211">
        <v>1</v>
      </c>
      <c r="M92" s="194" t="s">
        <v>46</v>
      </c>
      <c r="N92" s="194" t="s">
        <v>68</v>
      </c>
      <c r="O92" s="194" t="s">
        <v>37</v>
      </c>
      <c r="P92" s="194" t="s">
        <v>38</v>
      </c>
      <c r="Q92" s="194" t="s">
        <v>219</v>
      </c>
      <c r="R92" s="194" t="s">
        <v>379</v>
      </c>
      <c r="S92" s="194" t="s">
        <v>99</v>
      </c>
      <c r="T92" s="211">
        <v>1</v>
      </c>
      <c r="U92" s="212" t="str">
        <f t="shared" si="43"/>
        <v>Efectuar los tramites asociados al pago de las Transferencias de la ADRES</v>
      </c>
      <c r="V92" s="213">
        <f t="shared" si="43"/>
        <v>1000000000</v>
      </c>
      <c r="W92" s="222" t="s">
        <v>114</v>
      </c>
      <c r="X92" s="281">
        <v>0.25</v>
      </c>
      <c r="Y92" s="282" t="s">
        <v>381</v>
      </c>
      <c r="Z92" s="283">
        <f>+X92*V92</f>
        <v>250000000</v>
      </c>
      <c r="AA92" s="279"/>
      <c r="AB92" s="279"/>
      <c r="AC92" s="280">
        <f t="shared" si="44"/>
        <v>0</v>
      </c>
      <c r="AD92" s="280">
        <f t="shared" si="45"/>
        <v>0</v>
      </c>
      <c r="AE92" s="280">
        <f t="shared" si="31"/>
        <v>0</v>
      </c>
      <c r="AF92" s="280">
        <f t="shared" si="32"/>
        <v>0</v>
      </c>
      <c r="AG92" s="281">
        <v>0.25</v>
      </c>
      <c r="AH92" s="282" t="s">
        <v>381</v>
      </c>
      <c r="AI92" s="283">
        <v>250000000</v>
      </c>
      <c r="AJ92" s="279"/>
      <c r="AK92" s="279"/>
      <c r="AL92" s="280">
        <f t="shared" si="46"/>
        <v>0</v>
      </c>
      <c r="AM92" s="280">
        <f t="shared" si="33"/>
        <v>0</v>
      </c>
      <c r="AN92" s="280">
        <f t="shared" si="34"/>
        <v>0</v>
      </c>
      <c r="AO92" s="280">
        <f t="shared" si="35"/>
        <v>0</v>
      </c>
      <c r="AP92" s="281">
        <v>0.25</v>
      </c>
      <c r="AQ92" s="282" t="s">
        <v>381</v>
      </c>
      <c r="AR92" s="283">
        <v>250000000</v>
      </c>
      <c r="AS92" s="279"/>
      <c r="AT92" s="279"/>
      <c r="AU92" s="280">
        <f t="shared" si="47"/>
        <v>0</v>
      </c>
      <c r="AV92" s="280">
        <f t="shared" si="48"/>
        <v>0</v>
      </c>
      <c r="AW92" s="280">
        <f t="shared" si="49"/>
        <v>0</v>
      </c>
      <c r="AX92" s="280">
        <f t="shared" si="50"/>
        <v>0</v>
      </c>
      <c r="AY92" s="281">
        <v>0.25</v>
      </c>
      <c r="AZ92" s="282" t="s">
        <v>381</v>
      </c>
      <c r="BA92" s="283">
        <v>250000000</v>
      </c>
      <c r="BB92" s="279"/>
      <c r="BC92" s="279"/>
      <c r="BD92" s="281">
        <f t="shared" si="51"/>
        <v>0</v>
      </c>
      <c r="BE92" s="281">
        <f t="shared" si="52"/>
        <v>0</v>
      </c>
      <c r="BF92" s="281">
        <f t="shared" si="53"/>
        <v>0</v>
      </c>
      <c r="BG92" s="281">
        <f t="shared" si="54"/>
        <v>0</v>
      </c>
      <c r="BH92" s="205">
        <f t="shared" si="36"/>
        <v>0</v>
      </c>
      <c r="BI92" s="205">
        <f t="shared" si="37"/>
        <v>0</v>
      </c>
      <c r="BJ92" s="205">
        <f t="shared" si="38"/>
        <v>0</v>
      </c>
      <c r="BK92" s="205">
        <f t="shared" si="39"/>
        <v>0</v>
      </c>
      <c r="BL92" s="205">
        <f t="shared" si="55"/>
        <v>0</v>
      </c>
      <c r="BM92" s="205">
        <f t="shared" si="56"/>
        <v>0</v>
      </c>
      <c r="BN92" s="205">
        <f t="shared" si="40"/>
        <v>0</v>
      </c>
      <c r="BO92" s="205">
        <f t="shared" si="41"/>
        <v>0</v>
      </c>
      <c r="BP92" s="206"/>
      <c r="BQ92" s="277">
        <v>7</v>
      </c>
      <c r="BR92" s="208">
        <f t="shared" si="42"/>
        <v>0.58333333333333337</v>
      </c>
      <c r="BS92" s="219" t="str">
        <f t="shared" si="57"/>
        <v>Efectuar los tramites asociados al pago de las Transferencias de la ADRES</v>
      </c>
      <c r="BT92" s="195">
        <f t="shared" si="30"/>
        <v>583333333.33333337</v>
      </c>
      <c r="BU92" s="196"/>
      <c r="BV92" s="196"/>
      <c r="BW92" s="196"/>
      <c r="BX92" s="196"/>
      <c r="BY92" s="196"/>
      <c r="BZ92" s="19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c r="ED92" s="146"/>
      <c r="EE92" s="146"/>
      <c r="EF92" s="146"/>
      <c r="EG92" s="146"/>
      <c r="EH92" s="146"/>
      <c r="EI92" s="146"/>
      <c r="EJ92" s="146"/>
      <c r="EK92" s="146"/>
      <c r="EL92" s="146"/>
      <c r="EM92" s="146"/>
      <c r="EN92" s="146"/>
      <c r="EO92" s="146"/>
      <c r="EP92" s="146"/>
      <c r="EQ92" s="146"/>
      <c r="ER92" s="146"/>
      <c r="ES92" s="146"/>
      <c r="ET92" s="146"/>
      <c r="EU92" s="146"/>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c r="GU92" s="146"/>
      <c r="GV92" s="146"/>
      <c r="GW92" s="146"/>
      <c r="GX92" s="146"/>
      <c r="GY92" s="146"/>
      <c r="GZ92" s="146"/>
      <c r="HA92" s="146"/>
      <c r="HB92" s="146"/>
      <c r="HC92" s="146"/>
      <c r="HD92" s="146"/>
      <c r="HE92" s="146"/>
      <c r="HF92" s="146"/>
      <c r="HG92" s="146"/>
      <c r="HH92" s="146"/>
      <c r="HI92" s="146"/>
      <c r="HJ92" s="146"/>
      <c r="HK92" s="146"/>
      <c r="HL92" s="146"/>
      <c r="HM92" s="146"/>
      <c r="HN92" s="146"/>
      <c r="HO92" s="146"/>
      <c r="HP92" s="146"/>
      <c r="HQ92" s="146"/>
      <c r="HR92" s="146"/>
      <c r="HS92" s="146"/>
      <c r="HT92" s="146"/>
      <c r="HU92" s="146"/>
      <c r="HV92" s="146"/>
      <c r="HW92" s="146"/>
      <c r="HX92" s="146"/>
      <c r="HY92" s="146"/>
      <c r="HZ92" s="146"/>
      <c r="IA92" s="146"/>
    </row>
    <row r="93" spans="1:235" s="159" customFormat="1" ht="99.75" x14ac:dyDescent="0.25">
      <c r="A93" s="197">
        <v>11700</v>
      </c>
      <c r="B93" s="194" t="s">
        <v>29</v>
      </c>
      <c r="C93" s="198" t="s">
        <v>328</v>
      </c>
      <c r="D93" s="194" t="s">
        <v>256</v>
      </c>
      <c r="E93" s="198" t="s">
        <v>330</v>
      </c>
      <c r="F93" s="194" t="s">
        <v>380</v>
      </c>
      <c r="G93" s="209" t="s">
        <v>123</v>
      </c>
      <c r="H93" s="216">
        <v>1</v>
      </c>
      <c r="I93" s="198" t="s">
        <v>753</v>
      </c>
      <c r="J93" s="194" t="s">
        <v>754</v>
      </c>
      <c r="K93" s="210">
        <v>13118070672</v>
      </c>
      <c r="L93" s="211">
        <v>1</v>
      </c>
      <c r="M93" s="194" t="s">
        <v>46</v>
      </c>
      <c r="N93" s="194" t="s">
        <v>68</v>
      </c>
      <c r="O93" s="194" t="s">
        <v>37</v>
      </c>
      <c r="P93" s="194" t="s">
        <v>38</v>
      </c>
      <c r="Q93" s="194" t="s">
        <v>219</v>
      </c>
      <c r="R93" s="194" t="s">
        <v>379</v>
      </c>
      <c r="S93" s="194" t="s">
        <v>99</v>
      </c>
      <c r="T93" s="211">
        <v>1</v>
      </c>
      <c r="U93" s="212" t="str">
        <f t="shared" si="43"/>
        <v>Efectuar los tramites asociados a la ejecución de otros recursos asignados a la ADRES</v>
      </c>
      <c r="V93" s="213">
        <f t="shared" si="43"/>
        <v>13118070672</v>
      </c>
      <c r="W93" s="222" t="s">
        <v>114</v>
      </c>
      <c r="X93" s="281">
        <v>0.25</v>
      </c>
      <c r="Y93" s="282" t="s">
        <v>386</v>
      </c>
      <c r="Z93" s="283">
        <f>+X93*V93</f>
        <v>3279517668</v>
      </c>
      <c r="AA93" s="279"/>
      <c r="AB93" s="279"/>
      <c r="AC93" s="280">
        <f t="shared" si="44"/>
        <v>0</v>
      </c>
      <c r="AD93" s="280">
        <f t="shared" si="45"/>
        <v>0</v>
      </c>
      <c r="AE93" s="280">
        <f t="shared" si="31"/>
        <v>0</v>
      </c>
      <c r="AF93" s="280">
        <f t="shared" si="32"/>
        <v>0</v>
      </c>
      <c r="AG93" s="281">
        <v>0.25</v>
      </c>
      <c r="AH93" s="282" t="s">
        <v>386</v>
      </c>
      <c r="AI93" s="283">
        <v>3279517668</v>
      </c>
      <c r="AJ93" s="279"/>
      <c r="AK93" s="279"/>
      <c r="AL93" s="280">
        <f t="shared" si="46"/>
        <v>0</v>
      </c>
      <c r="AM93" s="280">
        <f t="shared" si="33"/>
        <v>0</v>
      </c>
      <c r="AN93" s="280">
        <f t="shared" si="34"/>
        <v>0</v>
      </c>
      <c r="AO93" s="280">
        <f t="shared" si="35"/>
        <v>0</v>
      </c>
      <c r="AP93" s="281">
        <v>0.25</v>
      </c>
      <c r="AQ93" s="282" t="s">
        <v>386</v>
      </c>
      <c r="AR93" s="283">
        <v>3279517668</v>
      </c>
      <c r="AS93" s="279"/>
      <c r="AT93" s="279"/>
      <c r="AU93" s="280">
        <f t="shared" si="47"/>
        <v>0</v>
      </c>
      <c r="AV93" s="280">
        <f t="shared" si="48"/>
        <v>0</v>
      </c>
      <c r="AW93" s="280">
        <f t="shared" si="49"/>
        <v>0</v>
      </c>
      <c r="AX93" s="280">
        <f t="shared" si="50"/>
        <v>0</v>
      </c>
      <c r="AY93" s="281">
        <v>0.25</v>
      </c>
      <c r="AZ93" s="282" t="s">
        <v>386</v>
      </c>
      <c r="BA93" s="283">
        <v>3279517668</v>
      </c>
      <c r="BB93" s="279"/>
      <c r="BC93" s="279"/>
      <c r="BD93" s="281">
        <f t="shared" si="51"/>
        <v>0</v>
      </c>
      <c r="BE93" s="281">
        <f t="shared" si="52"/>
        <v>0</v>
      </c>
      <c r="BF93" s="281">
        <f t="shared" si="53"/>
        <v>0</v>
      </c>
      <c r="BG93" s="281">
        <f t="shared" si="54"/>
        <v>0</v>
      </c>
      <c r="BH93" s="205">
        <f t="shared" si="36"/>
        <v>0</v>
      </c>
      <c r="BI93" s="205">
        <f t="shared" si="37"/>
        <v>0</v>
      </c>
      <c r="BJ93" s="205">
        <f t="shared" si="38"/>
        <v>0</v>
      </c>
      <c r="BK93" s="205">
        <f t="shared" si="39"/>
        <v>0</v>
      </c>
      <c r="BL93" s="205">
        <f t="shared" si="55"/>
        <v>0</v>
      </c>
      <c r="BM93" s="205">
        <f t="shared" si="56"/>
        <v>0</v>
      </c>
      <c r="BN93" s="205">
        <f t="shared" si="40"/>
        <v>0</v>
      </c>
      <c r="BO93" s="205">
        <f t="shared" si="41"/>
        <v>0</v>
      </c>
      <c r="BP93" s="206"/>
      <c r="BQ93" s="277">
        <v>7</v>
      </c>
      <c r="BR93" s="208">
        <f t="shared" si="42"/>
        <v>0.58333333333333337</v>
      </c>
      <c r="BS93" s="219" t="str">
        <f t="shared" si="57"/>
        <v>Efectuar los tramites asociados a la ejecución de otros recursos asignados a la ADRES</v>
      </c>
      <c r="BT93" s="195">
        <f t="shared" si="30"/>
        <v>7652207892</v>
      </c>
      <c r="BU93" s="196"/>
      <c r="BV93" s="196"/>
      <c r="BW93" s="196"/>
      <c r="BX93" s="196"/>
      <c r="BY93" s="196"/>
      <c r="BZ93" s="19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row>
    <row r="94" spans="1:235" s="154" customFormat="1" ht="99.75" x14ac:dyDescent="0.25">
      <c r="A94" s="197">
        <v>11700</v>
      </c>
      <c r="B94" s="194" t="s">
        <v>29</v>
      </c>
      <c r="C94" s="198" t="s">
        <v>328</v>
      </c>
      <c r="D94" s="194" t="s">
        <v>256</v>
      </c>
      <c r="E94" s="198" t="s">
        <v>383</v>
      </c>
      <c r="F94" s="194" t="s">
        <v>382</v>
      </c>
      <c r="G94" s="209" t="s">
        <v>384</v>
      </c>
      <c r="H94" s="198">
        <v>12</v>
      </c>
      <c r="I94" s="198" t="s">
        <v>388</v>
      </c>
      <c r="J94" s="194" t="s">
        <v>381</v>
      </c>
      <c r="K94" s="210">
        <v>0</v>
      </c>
      <c r="L94" s="211">
        <v>1</v>
      </c>
      <c r="M94" s="194" t="s">
        <v>46</v>
      </c>
      <c r="N94" s="194" t="s">
        <v>68</v>
      </c>
      <c r="O94" s="194" t="s">
        <v>37</v>
      </c>
      <c r="P94" s="194" t="s">
        <v>38</v>
      </c>
      <c r="Q94" s="194" t="s">
        <v>219</v>
      </c>
      <c r="R94" s="194" t="s">
        <v>626</v>
      </c>
      <c r="S94" s="194" t="s">
        <v>99</v>
      </c>
      <c r="T94" s="198">
        <v>12</v>
      </c>
      <c r="U94" s="212" t="str">
        <f t="shared" si="43"/>
        <v>Seguimiento a la ejecución presupuestal, PAC y Reservas</v>
      </c>
      <c r="V94" s="213">
        <f t="shared" si="43"/>
        <v>0</v>
      </c>
      <c r="W94" s="214" t="s">
        <v>117</v>
      </c>
      <c r="X94" s="215">
        <v>3</v>
      </c>
      <c r="Y94" s="214" t="s">
        <v>381</v>
      </c>
      <c r="Z94" s="210">
        <v>0</v>
      </c>
      <c r="AA94" s="196"/>
      <c r="AB94" s="196"/>
      <c r="AC94" s="204">
        <f t="shared" si="44"/>
        <v>0</v>
      </c>
      <c r="AD94" s="204" t="e">
        <f t="shared" si="45"/>
        <v>#DIV/0!</v>
      </c>
      <c r="AE94" s="204">
        <f t="shared" si="31"/>
        <v>0</v>
      </c>
      <c r="AF94" s="204" t="e">
        <f t="shared" si="32"/>
        <v>#DIV/0!</v>
      </c>
      <c r="AG94" s="215">
        <v>3</v>
      </c>
      <c r="AH94" s="214" t="s">
        <v>381</v>
      </c>
      <c r="AI94" s="210">
        <v>0</v>
      </c>
      <c r="AJ94" s="196"/>
      <c r="AK94" s="196"/>
      <c r="AL94" s="204">
        <f t="shared" si="46"/>
        <v>0</v>
      </c>
      <c r="AM94" s="204" t="e">
        <f t="shared" si="33"/>
        <v>#DIV/0!</v>
      </c>
      <c r="AN94" s="204">
        <f t="shared" si="34"/>
        <v>0</v>
      </c>
      <c r="AO94" s="204" t="e">
        <f t="shared" si="35"/>
        <v>#DIV/0!</v>
      </c>
      <c r="AP94" s="215">
        <v>3</v>
      </c>
      <c r="AQ94" s="214" t="s">
        <v>381</v>
      </c>
      <c r="AR94" s="210">
        <v>0</v>
      </c>
      <c r="AS94" s="196"/>
      <c r="AT94" s="196"/>
      <c r="AU94" s="204">
        <f t="shared" si="47"/>
        <v>0</v>
      </c>
      <c r="AV94" s="204" t="e">
        <f t="shared" si="48"/>
        <v>#DIV/0!</v>
      </c>
      <c r="AW94" s="204">
        <f t="shared" si="49"/>
        <v>0</v>
      </c>
      <c r="AX94" s="204" t="e">
        <f t="shared" si="50"/>
        <v>#DIV/0!</v>
      </c>
      <c r="AY94" s="215">
        <v>3</v>
      </c>
      <c r="AZ94" s="214" t="s">
        <v>381</v>
      </c>
      <c r="BA94" s="210">
        <v>0</v>
      </c>
      <c r="BB94" s="196"/>
      <c r="BC94" s="196"/>
      <c r="BD94" s="216">
        <f t="shared" si="51"/>
        <v>0</v>
      </c>
      <c r="BE94" s="216" t="e">
        <f t="shared" si="52"/>
        <v>#DIV/0!</v>
      </c>
      <c r="BF94" s="216">
        <f t="shared" si="53"/>
        <v>0</v>
      </c>
      <c r="BG94" s="216" t="e">
        <f t="shared" si="54"/>
        <v>#DIV/0!</v>
      </c>
      <c r="BH94" s="207">
        <f t="shared" si="36"/>
        <v>0</v>
      </c>
      <c r="BI94" s="207" t="str">
        <f t="shared" si="37"/>
        <v>No Prog ni Ejec</v>
      </c>
      <c r="BJ94" s="207">
        <f t="shared" si="38"/>
        <v>0</v>
      </c>
      <c r="BK94" s="207" t="str">
        <f t="shared" si="39"/>
        <v>No Prog ni Ejec</v>
      </c>
      <c r="BL94" s="207">
        <f t="shared" si="55"/>
        <v>0</v>
      </c>
      <c r="BM94" s="207" t="str">
        <f t="shared" si="56"/>
        <v>No Prog ni Ejec</v>
      </c>
      <c r="BN94" s="207">
        <f t="shared" si="40"/>
        <v>0</v>
      </c>
      <c r="BO94" s="207" t="str">
        <f t="shared" si="41"/>
        <v>No Prog ni Ejec</v>
      </c>
      <c r="BP94" s="206"/>
      <c r="BQ94" s="277">
        <v>7</v>
      </c>
      <c r="BR94" s="218">
        <f t="shared" si="42"/>
        <v>7</v>
      </c>
      <c r="BS94" s="219" t="str">
        <f t="shared" si="57"/>
        <v>Seguimiento a la ejecución presupuestal, PAC y Reservas</v>
      </c>
      <c r="BT94" s="195">
        <f t="shared" si="30"/>
        <v>0</v>
      </c>
      <c r="BU94" s="196"/>
      <c r="BV94" s="196"/>
      <c r="BW94" s="196"/>
      <c r="BX94" s="196"/>
      <c r="BY94" s="196"/>
      <c r="BZ94" s="19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row>
    <row r="95" spans="1:235" s="154" customFormat="1" ht="99.75" x14ac:dyDescent="0.25">
      <c r="A95" s="197">
        <v>11700</v>
      </c>
      <c r="B95" s="194" t="s">
        <v>29</v>
      </c>
      <c r="C95" s="198" t="s">
        <v>328</v>
      </c>
      <c r="D95" s="194" t="s">
        <v>256</v>
      </c>
      <c r="E95" s="198" t="s">
        <v>385</v>
      </c>
      <c r="F95" s="194" t="s">
        <v>387</v>
      </c>
      <c r="G95" s="209" t="s">
        <v>384</v>
      </c>
      <c r="H95" s="198">
        <v>4</v>
      </c>
      <c r="I95" s="198" t="s">
        <v>389</v>
      </c>
      <c r="J95" s="194" t="s">
        <v>386</v>
      </c>
      <c r="K95" s="210">
        <v>0</v>
      </c>
      <c r="L95" s="211">
        <v>1</v>
      </c>
      <c r="M95" s="194" t="s">
        <v>46</v>
      </c>
      <c r="N95" s="194" t="s">
        <v>68</v>
      </c>
      <c r="O95" s="194" t="s">
        <v>37</v>
      </c>
      <c r="P95" s="194" t="s">
        <v>38</v>
      </c>
      <c r="Q95" s="194" t="s">
        <v>219</v>
      </c>
      <c r="R95" s="194" t="s">
        <v>627</v>
      </c>
      <c r="S95" s="194" t="s">
        <v>99</v>
      </c>
      <c r="T95" s="198">
        <v>4</v>
      </c>
      <c r="U95" s="212" t="str">
        <f t="shared" si="43"/>
        <v>Informes Estados Financieros (Balance General y Estado de Resultados) de la UGG</v>
      </c>
      <c r="V95" s="213">
        <f t="shared" si="43"/>
        <v>0</v>
      </c>
      <c r="W95" s="214" t="s">
        <v>117</v>
      </c>
      <c r="X95" s="215">
        <v>1</v>
      </c>
      <c r="Y95" s="214" t="s">
        <v>386</v>
      </c>
      <c r="Z95" s="210">
        <v>0</v>
      </c>
      <c r="AA95" s="196"/>
      <c r="AB95" s="196"/>
      <c r="AC95" s="204">
        <f t="shared" si="44"/>
        <v>0</v>
      </c>
      <c r="AD95" s="204" t="e">
        <f t="shared" si="45"/>
        <v>#DIV/0!</v>
      </c>
      <c r="AE95" s="204">
        <f t="shared" si="31"/>
        <v>0</v>
      </c>
      <c r="AF95" s="204" t="e">
        <f t="shared" si="32"/>
        <v>#DIV/0!</v>
      </c>
      <c r="AG95" s="215">
        <v>1</v>
      </c>
      <c r="AH95" s="214" t="s">
        <v>386</v>
      </c>
      <c r="AI95" s="210">
        <v>0</v>
      </c>
      <c r="AJ95" s="196"/>
      <c r="AK95" s="196"/>
      <c r="AL95" s="204">
        <f t="shared" si="46"/>
        <v>0</v>
      </c>
      <c r="AM95" s="204" t="e">
        <f t="shared" si="33"/>
        <v>#DIV/0!</v>
      </c>
      <c r="AN95" s="204">
        <f t="shared" si="34"/>
        <v>0</v>
      </c>
      <c r="AO95" s="204" t="e">
        <f t="shared" si="35"/>
        <v>#DIV/0!</v>
      </c>
      <c r="AP95" s="215">
        <v>1</v>
      </c>
      <c r="AQ95" s="214" t="s">
        <v>386</v>
      </c>
      <c r="AR95" s="210">
        <v>0</v>
      </c>
      <c r="AS95" s="196"/>
      <c r="AT95" s="196"/>
      <c r="AU95" s="204">
        <f t="shared" si="47"/>
        <v>0</v>
      </c>
      <c r="AV95" s="204" t="e">
        <f t="shared" si="48"/>
        <v>#DIV/0!</v>
      </c>
      <c r="AW95" s="204">
        <f t="shared" si="49"/>
        <v>0</v>
      </c>
      <c r="AX95" s="204" t="e">
        <f t="shared" si="50"/>
        <v>#DIV/0!</v>
      </c>
      <c r="AY95" s="215">
        <v>1</v>
      </c>
      <c r="AZ95" s="214" t="s">
        <v>386</v>
      </c>
      <c r="BA95" s="210">
        <v>0</v>
      </c>
      <c r="BB95" s="196"/>
      <c r="BC95" s="196"/>
      <c r="BD95" s="216">
        <f t="shared" si="51"/>
        <v>0</v>
      </c>
      <c r="BE95" s="216" t="e">
        <f t="shared" si="52"/>
        <v>#DIV/0!</v>
      </c>
      <c r="BF95" s="216">
        <f t="shared" si="53"/>
        <v>0</v>
      </c>
      <c r="BG95" s="216" t="e">
        <f t="shared" si="54"/>
        <v>#DIV/0!</v>
      </c>
      <c r="BH95" s="207">
        <f t="shared" si="36"/>
        <v>0</v>
      </c>
      <c r="BI95" s="207" t="str">
        <f t="shared" si="37"/>
        <v>No Prog ni Ejec</v>
      </c>
      <c r="BJ95" s="207">
        <f t="shared" si="38"/>
        <v>0</v>
      </c>
      <c r="BK95" s="207" t="str">
        <f t="shared" si="39"/>
        <v>No Prog ni Ejec</v>
      </c>
      <c r="BL95" s="207">
        <f t="shared" si="55"/>
        <v>0</v>
      </c>
      <c r="BM95" s="207" t="str">
        <f t="shared" si="56"/>
        <v>No Prog ni Ejec</v>
      </c>
      <c r="BN95" s="207">
        <f t="shared" si="40"/>
        <v>0</v>
      </c>
      <c r="BO95" s="207" t="str">
        <f t="shared" si="41"/>
        <v>No Prog ni Ejec</v>
      </c>
      <c r="BP95" s="206"/>
      <c r="BQ95" s="277">
        <v>7</v>
      </c>
      <c r="BR95" s="218">
        <f t="shared" si="42"/>
        <v>2.3333333333333335</v>
      </c>
      <c r="BS95" s="219" t="str">
        <f t="shared" si="57"/>
        <v>Informes Estados Financieros (Balance General y Estado de Resultados) de la UGG</v>
      </c>
      <c r="BT95" s="195">
        <f t="shared" si="30"/>
        <v>0</v>
      </c>
      <c r="BU95" s="196"/>
      <c r="BV95" s="196"/>
      <c r="BW95" s="196"/>
      <c r="BX95" s="196"/>
      <c r="BY95" s="196"/>
      <c r="BZ95" s="19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row>
    <row r="96" spans="1:235" s="154" customFormat="1" ht="99.75" x14ac:dyDescent="0.25">
      <c r="A96" s="197">
        <v>11700</v>
      </c>
      <c r="B96" s="194" t="s">
        <v>29</v>
      </c>
      <c r="C96" s="198" t="s">
        <v>328</v>
      </c>
      <c r="D96" s="194" t="s">
        <v>256</v>
      </c>
      <c r="E96" s="198" t="s">
        <v>391</v>
      </c>
      <c r="F96" s="194" t="s">
        <v>393</v>
      </c>
      <c r="G96" s="209" t="s">
        <v>384</v>
      </c>
      <c r="H96" s="198">
        <v>4</v>
      </c>
      <c r="I96" s="198" t="s">
        <v>392</v>
      </c>
      <c r="J96" s="194" t="s">
        <v>390</v>
      </c>
      <c r="K96" s="210">
        <v>0</v>
      </c>
      <c r="L96" s="211">
        <v>1</v>
      </c>
      <c r="M96" s="194" t="s">
        <v>46</v>
      </c>
      <c r="N96" s="194" t="s">
        <v>68</v>
      </c>
      <c r="O96" s="194" t="s">
        <v>37</v>
      </c>
      <c r="P96" s="194" t="s">
        <v>38</v>
      </c>
      <c r="Q96" s="194" t="s">
        <v>219</v>
      </c>
      <c r="R96" s="194" t="s">
        <v>628</v>
      </c>
      <c r="S96" s="194" t="s">
        <v>99</v>
      </c>
      <c r="T96" s="198">
        <v>4</v>
      </c>
      <c r="U96" s="212" t="str">
        <f t="shared" si="43"/>
        <v>Informes Operaciones Reciprocas</v>
      </c>
      <c r="V96" s="213">
        <f t="shared" si="43"/>
        <v>0</v>
      </c>
      <c r="W96" s="214" t="s">
        <v>117</v>
      </c>
      <c r="X96" s="215">
        <v>1</v>
      </c>
      <c r="Y96" s="214" t="s">
        <v>390</v>
      </c>
      <c r="Z96" s="210">
        <v>0</v>
      </c>
      <c r="AA96" s="196"/>
      <c r="AB96" s="196"/>
      <c r="AC96" s="204">
        <f t="shared" si="44"/>
        <v>0</v>
      </c>
      <c r="AD96" s="204" t="e">
        <f t="shared" si="45"/>
        <v>#DIV/0!</v>
      </c>
      <c r="AE96" s="204">
        <f t="shared" si="31"/>
        <v>0</v>
      </c>
      <c r="AF96" s="204" t="e">
        <f t="shared" si="32"/>
        <v>#DIV/0!</v>
      </c>
      <c r="AG96" s="215">
        <v>1</v>
      </c>
      <c r="AH96" s="214" t="s">
        <v>390</v>
      </c>
      <c r="AI96" s="210">
        <v>0</v>
      </c>
      <c r="AJ96" s="196"/>
      <c r="AK96" s="196"/>
      <c r="AL96" s="204">
        <f t="shared" si="46"/>
        <v>0</v>
      </c>
      <c r="AM96" s="204" t="e">
        <f t="shared" si="33"/>
        <v>#DIV/0!</v>
      </c>
      <c r="AN96" s="204">
        <f t="shared" si="34"/>
        <v>0</v>
      </c>
      <c r="AO96" s="204" t="e">
        <f t="shared" si="35"/>
        <v>#DIV/0!</v>
      </c>
      <c r="AP96" s="215">
        <v>1</v>
      </c>
      <c r="AQ96" s="214" t="s">
        <v>390</v>
      </c>
      <c r="AR96" s="210">
        <v>0</v>
      </c>
      <c r="AS96" s="196"/>
      <c r="AT96" s="196"/>
      <c r="AU96" s="204">
        <f t="shared" si="47"/>
        <v>0</v>
      </c>
      <c r="AV96" s="204" t="e">
        <f t="shared" si="48"/>
        <v>#DIV/0!</v>
      </c>
      <c r="AW96" s="204">
        <f t="shared" si="49"/>
        <v>0</v>
      </c>
      <c r="AX96" s="204" t="e">
        <f t="shared" si="50"/>
        <v>#DIV/0!</v>
      </c>
      <c r="AY96" s="215">
        <v>1</v>
      </c>
      <c r="AZ96" s="214" t="s">
        <v>390</v>
      </c>
      <c r="BA96" s="210">
        <v>0</v>
      </c>
      <c r="BB96" s="196"/>
      <c r="BC96" s="196"/>
      <c r="BD96" s="216">
        <f t="shared" si="51"/>
        <v>0</v>
      </c>
      <c r="BE96" s="216" t="e">
        <f t="shared" si="52"/>
        <v>#DIV/0!</v>
      </c>
      <c r="BF96" s="216">
        <f t="shared" si="53"/>
        <v>0</v>
      </c>
      <c r="BG96" s="216" t="e">
        <f t="shared" si="54"/>
        <v>#DIV/0!</v>
      </c>
      <c r="BH96" s="207">
        <f t="shared" si="36"/>
        <v>0</v>
      </c>
      <c r="BI96" s="207" t="str">
        <f t="shared" si="37"/>
        <v>No Prog ni Ejec</v>
      </c>
      <c r="BJ96" s="207">
        <f t="shared" si="38"/>
        <v>0</v>
      </c>
      <c r="BK96" s="207" t="str">
        <f t="shared" si="39"/>
        <v>No Prog ni Ejec</v>
      </c>
      <c r="BL96" s="207">
        <f t="shared" si="55"/>
        <v>0</v>
      </c>
      <c r="BM96" s="207" t="str">
        <f t="shared" si="56"/>
        <v>No Prog ni Ejec</v>
      </c>
      <c r="BN96" s="207">
        <f t="shared" si="40"/>
        <v>0</v>
      </c>
      <c r="BO96" s="207" t="str">
        <f t="shared" si="41"/>
        <v>No Prog ni Ejec</v>
      </c>
      <c r="BP96" s="206"/>
      <c r="BQ96" s="277">
        <v>7</v>
      </c>
      <c r="BR96" s="218">
        <f t="shared" si="42"/>
        <v>2.3333333333333335</v>
      </c>
      <c r="BS96" s="219" t="str">
        <f t="shared" si="57"/>
        <v>Informes Operaciones Reciprocas</v>
      </c>
      <c r="BT96" s="195">
        <f t="shared" si="30"/>
        <v>0</v>
      </c>
      <c r="BU96" s="196"/>
      <c r="BV96" s="196"/>
      <c r="BW96" s="196"/>
      <c r="BX96" s="196"/>
      <c r="BY96" s="196"/>
      <c r="BZ96" s="19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row>
    <row r="97" spans="1:235" s="154" customFormat="1" ht="99.75" x14ac:dyDescent="0.25">
      <c r="A97" s="197">
        <v>11700</v>
      </c>
      <c r="B97" s="194" t="s">
        <v>29</v>
      </c>
      <c r="C97" s="198" t="s">
        <v>328</v>
      </c>
      <c r="D97" s="194" t="s">
        <v>256</v>
      </c>
      <c r="E97" s="198" t="s">
        <v>394</v>
      </c>
      <c r="F97" s="194" t="s">
        <v>395</v>
      </c>
      <c r="G97" s="209" t="s">
        <v>123</v>
      </c>
      <c r="H97" s="216">
        <v>1</v>
      </c>
      <c r="I97" s="198" t="s">
        <v>396</v>
      </c>
      <c r="J97" s="194" t="s">
        <v>397</v>
      </c>
      <c r="K97" s="210">
        <v>0</v>
      </c>
      <c r="L97" s="211">
        <v>1</v>
      </c>
      <c r="M97" s="194" t="s">
        <v>46</v>
      </c>
      <c r="N97" s="194" t="s">
        <v>68</v>
      </c>
      <c r="O97" s="194" t="s">
        <v>37</v>
      </c>
      <c r="P97" s="194" t="s">
        <v>38</v>
      </c>
      <c r="Q97" s="194" t="s">
        <v>219</v>
      </c>
      <c r="R97" s="194" t="s">
        <v>398</v>
      </c>
      <c r="S97" s="194" t="s">
        <v>99</v>
      </c>
      <c r="T97" s="211">
        <v>1</v>
      </c>
      <c r="U97" s="212" t="str">
        <f t="shared" si="43"/>
        <v xml:space="preserve">Tramite de pago de las Cuentas de Cobro con Soportes Documentales radicadas en el mes </v>
      </c>
      <c r="V97" s="213">
        <f t="shared" si="43"/>
        <v>0</v>
      </c>
      <c r="W97" s="214" t="s">
        <v>117</v>
      </c>
      <c r="X97" s="216">
        <v>0.25</v>
      </c>
      <c r="Y97" s="214" t="s">
        <v>397</v>
      </c>
      <c r="Z97" s="210">
        <v>0</v>
      </c>
      <c r="AA97" s="196"/>
      <c r="AB97" s="196"/>
      <c r="AC97" s="204">
        <f t="shared" si="44"/>
        <v>0</v>
      </c>
      <c r="AD97" s="204" t="e">
        <f t="shared" si="45"/>
        <v>#DIV/0!</v>
      </c>
      <c r="AE97" s="204">
        <f t="shared" si="31"/>
        <v>0</v>
      </c>
      <c r="AF97" s="204" t="e">
        <f t="shared" si="32"/>
        <v>#DIV/0!</v>
      </c>
      <c r="AG97" s="216">
        <v>0.25</v>
      </c>
      <c r="AH97" s="214" t="s">
        <v>397</v>
      </c>
      <c r="AI97" s="210">
        <v>0</v>
      </c>
      <c r="AJ97" s="196"/>
      <c r="AK97" s="196"/>
      <c r="AL97" s="204">
        <f t="shared" si="46"/>
        <v>0</v>
      </c>
      <c r="AM97" s="204" t="e">
        <f t="shared" si="33"/>
        <v>#DIV/0!</v>
      </c>
      <c r="AN97" s="204">
        <f t="shared" si="34"/>
        <v>0</v>
      </c>
      <c r="AO97" s="204" t="e">
        <f t="shared" si="35"/>
        <v>#DIV/0!</v>
      </c>
      <c r="AP97" s="216">
        <v>0.25</v>
      </c>
      <c r="AQ97" s="214" t="s">
        <v>397</v>
      </c>
      <c r="AR97" s="210">
        <v>0</v>
      </c>
      <c r="AS97" s="196"/>
      <c r="AT97" s="196"/>
      <c r="AU97" s="204">
        <f t="shared" si="47"/>
        <v>0</v>
      </c>
      <c r="AV97" s="204" t="e">
        <f t="shared" si="48"/>
        <v>#DIV/0!</v>
      </c>
      <c r="AW97" s="204">
        <f t="shared" si="49"/>
        <v>0</v>
      </c>
      <c r="AX97" s="204" t="e">
        <f t="shared" si="50"/>
        <v>#DIV/0!</v>
      </c>
      <c r="AY97" s="216">
        <v>0.25</v>
      </c>
      <c r="AZ97" s="214" t="s">
        <v>397</v>
      </c>
      <c r="BA97" s="210">
        <v>0</v>
      </c>
      <c r="BB97" s="196"/>
      <c r="BC97" s="196"/>
      <c r="BD97" s="216">
        <f t="shared" si="51"/>
        <v>0</v>
      </c>
      <c r="BE97" s="216" t="e">
        <f t="shared" si="52"/>
        <v>#DIV/0!</v>
      </c>
      <c r="BF97" s="216">
        <f t="shared" si="53"/>
        <v>0</v>
      </c>
      <c r="BG97" s="216" t="e">
        <f t="shared" si="54"/>
        <v>#DIV/0!</v>
      </c>
      <c r="BH97" s="207">
        <f t="shared" si="36"/>
        <v>0</v>
      </c>
      <c r="BI97" s="207" t="str">
        <f t="shared" si="37"/>
        <v>No Prog ni Ejec</v>
      </c>
      <c r="BJ97" s="207">
        <f t="shared" si="38"/>
        <v>0</v>
      </c>
      <c r="BK97" s="207" t="str">
        <f t="shared" si="39"/>
        <v>No Prog ni Ejec</v>
      </c>
      <c r="BL97" s="207">
        <f t="shared" si="55"/>
        <v>0</v>
      </c>
      <c r="BM97" s="207" t="str">
        <f t="shared" si="56"/>
        <v>No Prog ni Ejec</v>
      </c>
      <c r="BN97" s="207">
        <f t="shared" si="40"/>
        <v>0</v>
      </c>
      <c r="BO97" s="207" t="str">
        <f t="shared" si="41"/>
        <v>No Prog ni Ejec</v>
      </c>
      <c r="BP97" s="206"/>
      <c r="BQ97" s="277">
        <v>7</v>
      </c>
      <c r="BR97" s="208">
        <f t="shared" si="42"/>
        <v>0.58333333333333337</v>
      </c>
      <c r="BS97" s="219" t="str">
        <f t="shared" si="57"/>
        <v xml:space="preserve">Tramite de pago de las Cuentas de Cobro con Soportes Documentales radicadas en el mes </v>
      </c>
      <c r="BT97" s="195">
        <f t="shared" si="30"/>
        <v>0</v>
      </c>
      <c r="BU97" s="196"/>
      <c r="BV97" s="196"/>
      <c r="BW97" s="196"/>
      <c r="BX97" s="196"/>
      <c r="BY97" s="196"/>
      <c r="BZ97" s="19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row>
    <row r="98" spans="1:235" s="156" customFormat="1" ht="99.75" x14ac:dyDescent="0.25">
      <c r="A98" s="197">
        <v>11700</v>
      </c>
      <c r="B98" s="194" t="s">
        <v>29</v>
      </c>
      <c r="C98" s="198" t="s">
        <v>328</v>
      </c>
      <c r="D98" s="194" t="s">
        <v>256</v>
      </c>
      <c r="E98" s="198" t="s">
        <v>399</v>
      </c>
      <c r="F98" s="194" t="s">
        <v>400</v>
      </c>
      <c r="G98" s="209" t="s">
        <v>123</v>
      </c>
      <c r="H98" s="216">
        <v>1</v>
      </c>
      <c r="I98" s="198" t="s">
        <v>403</v>
      </c>
      <c r="J98" s="194" t="s">
        <v>405</v>
      </c>
      <c r="K98" s="210">
        <v>319126980</v>
      </c>
      <c r="L98" s="211">
        <v>1</v>
      </c>
      <c r="M98" s="194" t="s">
        <v>51</v>
      </c>
      <c r="N98" s="194" t="s">
        <v>56</v>
      </c>
      <c r="O98" s="194" t="s">
        <v>37</v>
      </c>
      <c r="P98" s="194" t="s">
        <v>40</v>
      </c>
      <c r="Q98" s="194" t="s">
        <v>217</v>
      </c>
      <c r="R98" s="201" t="s">
        <v>402</v>
      </c>
      <c r="S98" s="194" t="s">
        <v>111</v>
      </c>
      <c r="T98" s="211">
        <v>1</v>
      </c>
      <c r="U98" s="212" t="str">
        <f t="shared" si="43"/>
        <v>Trámites  Precontractuales y Contractuales Adelantados de conformidad con Plan de Adquisiciones de la Dirección.</v>
      </c>
      <c r="V98" s="213">
        <f t="shared" si="43"/>
        <v>319126980</v>
      </c>
      <c r="W98" s="222" t="s">
        <v>114</v>
      </c>
      <c r="X98" s="216">
        <v>0.25</v>
      </c>
      <c r="Y98" s="214" t="s">
        <v>405</v>
      </c>
      <c r="Z98" s="210">
        <f>+V98*X98</f>
        <v>79781745</v>
      </c>
      <c r="AA98" s="196"/>
      <c r="AB98" s="196"/>
      <c r="AC98" s="204">
        <f t="shared" si="44"/>
        <v>0</v>
      </c>
      <c r="AD98" s="204">
        <f>+(AB98/Z98)</f>
        <v>0</v>
      </c>
      <c r="AE98" s="204">
        <f t="shared" si="31"/>
        <v>0</v>
      </c>
      <c r="AF98" s="204">
        <f t="shared" si="32"/>
        <v>0</v>
      </c>
      <c r="AG98" s="216">
        <v>0.25</v>
      </c>
      <c r="AH98" s="214" t="s">
        <v>405</v>
      </c>
      <c r="AI98" s="210">
        <v>79781745</v>
      </c>
      <c r="AJ98" s="196"/>
      <c r="AK98" s="196"/>
      <c r="AL98" s="204">
        <f t="shared" si="46"/>
        <v>0</v>
      </c>
      <c r="AM98" s="204">
        <f t="shared" si="33"/>
        <v>0</v>
      </c>
      <c r="AN98" s="204">
        <f t="shared" si="34"/>
        <v>0</v>
      </c>
      <c r="AO98" s="204">
        <f t="shared" si="35"/>
        <v>0</v>
      </c>
      <c r="AP98" s="216">
        <v>0.25</v>
      </c>
      <c r="AQ98" s="214" t="s">
        <v>405</v>
      </c>
      <c r="AR98" s="210">
        <v>79781745</v>
      </c>
      <c r="AS98" s="196"/>
      <c r="AT98" s="196"/>
      <c r="AU98" s="204">
        <f t="shared" si="47"/>
        <v>0</v>
      </c>
      <c r="AV98" s="204">
        <f t="shared" si="48"/>
        <v>0</v>
      </c>
      <c r="AW98" s="204">
        <f t="shared" si="49"/>
        <v>0</v>
      </c>
      <c r="AX98" s="204">
        <f t="shared" si="50"/>
        <v>0</v>
      </c>
      <c r="AY98" s="216">
        <v>0.25</v>
      </c>
      <c r="AZ98" s="214" t="s">
        <v>405</v>
      </c>
      <c r="BA98" s="210">
        <v>79781745</v>
      </c>
      <c r="BB98" s="196"/>
      <c r="BC98" s="196"/>
      <c r="BD98" s="216">
        <f t="shared" si="51"/>
        <v>0</v>
      </c>
      <c r="BE98" s="216">
        <f t="shared" si="52"/>
        <v>0</v>
      </c>
      <c r="BF98" s="216">
        <f t="shared" si="53"/>
        <v>0</v>
      </c>
      <c r="BG98" s="216">
        <f t="shared" si="54"/>
        <v>0</v>
      </c>
      <c r="BH98" s="223">
        <f t="shared" si="36"/>
        <v>0</v>
      </c>
      <c r="BI98" s="223">
        <f t="shared" si="37"/>
        <v>0</v>
      </c>
      <c r="BJ98" s="223">
        <f t="shared" si="38"/>
        <v>0</v>
      </c>
      <c r="BK98" s="223">
        <f t="shared" si="39"/>
        <v>0</v>
      </c>
      <c r="BL98" s="223">
        <f t="shared" si="55"/>
        <v>0</v>
      </c>
      <c r="BM98" s="223">
        <f t="shared" si="56"/>
        <v>0</v>
      </c>
      <c r="BN98" s="223">
        <f t="shared" si="40"/>
        <v>0</v>
      </c>
      <c r="BO98" s="223">
        <f t="shared" si="41"/>
        <v>0</v>
      </c>
      <c r="BP98" s="206"/>
      <c r="BQ98" s="277">
        <v>7</v>
      </c>
      <c r="BR98" s="208">
        <f t="shared" si="42"/>
        <v>0.58333333333333337</v>
      </c>
      <c r="BS98" s="219" t="str">
        <f t="shared" si="57"/>
        <v>Trámites  Precontractuales y Contractuales Adelantados de conformidad con Plan de Adquisiciones de la Dirección.</v>
      </c>
      <c r="BT98" s="195">
        <f t="shared" si="30"/>
        <v>186157405</v>
      </c>
      <c r="BU98" s="196"/>
      <c r="BV98" s="196"/>
      <c r="BW98" s="196"/>
      <c r="BX98" s="196"/>
      <c r="BY98" s="196"/>
      <c r="BZ98" s="19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row>
    <row r="99" spans="1:235" s="153" customFormat="1" ht="99.75" x14ac:dyDescent="0.25">
      <c r="A99" s="197">
        <v>11700</v>
      </c>
      <c r="B99" s="194" t="s">
        <v>29</v>
      </c>
      <c r="C99" s="198" t="s">
        <v>328</v>
      </c>
      <c r="D99" s="194" t="s">
        <v>256</v>
      </c>
      <c r="E99" s="198" t="s">
        <v>401</v>
      </c>
      <c r="F99" s="194" t="s">
        <v>563</v>
      </c>
      <c r="G99" s="209" t="s">
        <v>123</v>
      </c>
      <c r="H99" s="216">
        <v>1</v>
      </c>
      <c r="I99" s="198" t="s">
        <v>404</v>
      </c>
      <c r="J99" s="194" t="s">
        <v>564</v>
      </c>
      <c r="K99" s="210">
        <v>0</v>
      </c>
      <c r="L99" s="211">
        <v>1</v>
      </c>
      <c r="M99" s="194" t="s">
        <v>51</v>
      </c>
      <c r="N99" s="194" t="s">
        <v>56</v>
      </c>
      <c r="O99" s="194" t="s">
        <v>37</v>
      </c>
      <c r="P99" s="194" t="s">
        <v>40</v>
      </c>
      <c r="Q99" s="194" t="s">
        <v>217</v>
      </c>
      <c r="R99" s="194" t="s">
        <v>808</v>
      </c>
      <c r="S99" s="194" t="s">
        <v>111</v>
      </c>
      <c r="T99" s="211">
        <v>1</v>
      </c>
      <c r="U99" s="212" t="str">
        <f t="shared" si="43"/>
        <v xml:space="preserve">No de Actos de cierre y/ o liquidaciones elaboradas / No. De Contratos terminados. </v>
      </c>
      <c r="V99" s="213">
        <f t="shared" si="43"/>
        <v>0</v>
      </c>
      <c r="W99" s="214" t="s">
        <v>117</v>
      </c>
      <c r="X99" s="216">
        <v>0.25</v>
      </c>
      <c r="Y99" s="214" t="s">
        <v>564</v>
      </c>
      <c r="Z99" s="210">
        <v>0</v>
      </c>
      <c r="AA99" s="196"/>
      <c r="AB99" s="196"/>
      <c r="AC99" s="204">
        <f t="shared" si="44"/>
        <v>0</v>
      </c>
      <c r="AD99" s="204" t="e">
        <f t="shared" si="45"/>
        <v>#DIV/0!</v>
      </c>
      <c r="AE99" s="204">
        <f t="shared" si="31"/>
        <v>0</v>
      </c>
      <c r="AF99" s="204" t="e">
        <f t="shared" si="32"/>
        <v>#DIV/0!</v>
      </c>
      <c r="AG99" s="216">
        <v>0.25</v>
      </c>
      <c r="AH99" s="214" t="s">
        <v>564</v>
      </c>
      <c r="AI99" s="210">
        <v>0</v>
      </c>
      <c r="AJ99" s="196"/>
      <c r="AK99" s="196"/>
      <c r="AL99" s="204">
        <f t="shared" si="46"/>
        <v>0</v>
      </c>
      <c r="AM99" s="204" t="e">
        <f t="shared" si="33"/>
        <v>#DIV/0!</v>
      </c>
      <c r="AN99" s="204">
        <f t="shared" si="34"/>
        <v>0</v>
      </c>
      <c r="AO99" s="204" t="e">
        <f t="shared" si="35"/>
        <v>#DIV/0!</v>
      </c>
      <c r="AP99" s="216">
        <v>0.25</v>
      </c>
      <c r="AQ99" s="214" t="s">
        <v>564</v>
      </c>
      <c r="AR99" s="210">
        <v>0</v>
      </c>
      <c r="AS99" s="196"/>
      <c r="AT99" s="196"/>
      <c r="AU99" s="204">
        <f t="shared" si="47"/>
        <v>0</v>
      </c>
      <c r="AV99" s="204" t="e">
        <f t="shared" si="48"/>
        <v>#DIV/0!</v>
      </c>
      <c r="AW99" s="204">
        <f t="shared" si="49"/>
        <v>0</v>
      </c>
      <c r="AX99" s="204" t="e">
        <f t="shared" si="50"/>
        <v>#DIV/0!</v>
      </c>
      <c r="AY99" s="216">
        <v>0.25</v>
      </c>
      <c r="AZ99" s="214" t="s">
        <v>564</v>
      </c>
      <c r="BA99" s="210">
        <v>0</v>
      </c>
      <c r="BB99" s="196"/>
      <c r="BC99" s="196"/>
      <c r="BD99" s="216">
        <f t="shared" si="51"/>
        <v>0</v>
      </c>
      <c r="BE99" s="216" t="e">
        <f t="shared" si="52"/>
        <v>#DIV/0!</v>
      </c>
      <c r="BF99" s="216">
        <f t="shared" si="53"/>
        <v>0</v>
      </c>
      <c r="BG99" s="216" t="e">
        <f t="shared" si="54"/>
        <v>#DIV/0!</v>
      </c>
      <c r="BH99" s="217">
        <f t="shared" si="36"/>
        <v>0</v>
      </c>
      <c r="BI99" s="217" t="str">
        <f t="shared" si="37"/>
        <v>No Prog ni Ejec</v>
      </c>
      <c r="BJ99" s="217">
        <f t="shared" si="38"/>
        <v>0</v>
      </c>
      <c r="BK99" s="217" t="str">
        <f t="shared" si="39"/>
        <v>No Prog ni Ejec</v>
      </c>
      <c r="BL99" s="217">
        <f t="shared" si="55"/>
        <v>0</v>
      </c>
      <c r="BM99" s="217" t="str">
        <f t="shared" si="56"/>
        <v>No Prog ni Ejec</v>
      </c>
      <c r="BN99" s="217">
        <f t="shared" si="40"/>
        <v>0</v>
      </c>
      <c r="BO99" s="217" t="str">
        <f t="shared" si="41"/>
        <v>No Prog ni Ejec</v>
      </c>
      <c r="BP99" s="206"/>
      <c r="BQ99" s="277">
        <v>7</v>
      </c>
      <c r="BR99" s="208">
        <f t="shared" si="42"/>
        <v>0.58333333333333337</v>
      </c>
      <c r="BS99" s="219" t="str">
        <f t="shared" si="57"/>
        <v xml:space="preserve">No de Actos de cierre y/ o liquidaciones elaboradas / No. De Contratos terminados. </v>
      </c>
      <c r="BT99" s="195">
        <f t="shared" si="30"/>
        <v>0</v>
      </c>
      <c r="BU99" s="196"/>
      <c r="BV99" s="196"/>
      <c r="BW99" s="196"/>
      <c r="BX99" s="196"/>
      <c r="BY99" s="196"/>
      <c r="BZ99" s="19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row>
    <row r="100" spans="1:235" s="159" customFormat="1" ht="99.75" x14ac:dyDescent="0.25">
      <c r="A100" s="197">
        <v>11700</v>
      </c>
      <c r="B100" s="194" t="s">
        <v>29</v>
      </c>
      <c r="C100" s="198" t="s">
        <v>328</v>
      </c>
      <c r="D100" s="194" t="s">
        <v>256</v>
      </c>
      <c r="E100" s="198" t="s">
        <v>407</v>
      </c>
      <c r="F100" s="194" t="s">
        <v>661</v>
      </c>
      <c r="G100" s="209" t="s">
        <v>123</v>
      </c>
      <c r="H100" s="216">
        <v>1</v>
      </c>
      <c r="I100" s="198" t="s">
        <v>409</v>
      </c>
      <c r="J100" s="194" t="s">
        <v>660</v>
      </c>
      <c r="K100" s="210">
        <v>400000000</v>
      </c>
      <c r="L100" s="211">
        <v>1</v>
      </c>
      <c r="M100" s="194" t="s">
        <v>45</v>
      </c>
      <c r="N100" s="194" t="s">
        <v>54</v>
      </c>
      <c r="O100" s="194" t="s">
        <v>37</v>
      </c>
      <c r="P100" s="194" t="s">
        <v>38</v>
      </c>
      <c r="Q100" s="194" t="s">
        <v>218</v>
      </c>
      <c r="R100" s="194" t="s">
        <v>664</v>
      </c>
      <c r="S100" s="194" t="s">
        <v>104</v>
      </c>
      <c r="T100" s="227">
        <v>9</v>
      </c>
      <c r="U100" s="212" t="str">
        <f t="shared" si="43"/>
        <v>Realizar capacitación y fortalecimiento de las competencias laborales de los funcionarios</v>
      </c>
      <c r="V100" s="213">
        <f t="shared" si="43"/>
        <v>400000000</v>
      </c>
      <c r="W100" s="222" t="s">
        <v>114</v>
      </c>
      <c r="X100" s="284">
        <v>3</v>
      </c>
      <c r="Y100" s="282" t="s">
        <v>660</v>
      </c>
      <c r="Z100" s="283">
        <v>100000000</v>
      </c>
      <c r="AA100" s="279"/>
      <c r="AB100" s="279"/>
      <c r="AC100" s="280">
        <f t="shared" si="44"/>
        <v>0</v>
      </c>
      <c r="AD100" s="280">
        <f t="shared" si="45"/>
        <v>0</v>
      </c>
      <c r="AE100" s="280">
        <f t="shared" si="31"/>
        <v>0</v>
      </c>
      <c r="AF100" s="280">
        <f t="shared" si="32"/>
        <v>0</v>
      </c>
      <c r="AG100" s="284">
        <v>2</v>
      </c>
      <c r="AH100" s="282" t="s">
        <v>660</v>
      </c>
      <c r="AI100" s="283">
        <v>100000000</v>
      </c>
      <c r="AJ100" s="279"/>
      <c r="AK100" s="279"/>
      <c r="AL100" s="280">
        <f t="shared" si="46"/>
        <v>0</v>
      </c>
      <c r="AM100" s="280">
        <f t="shared" si="33"/>
        <v>0</v>
      </c>
      <c r="AN100" s="280">
        <f t="shared" si="34"/>
        <v>0</v>
      </c>
      <c r="AO100" s="280">
        <f t="shared" si="35"/>
        <v>0</v>
      </c>
      <c r="AP100" s="284">
        <v>2</v>
      </c>
      <c r="AQ100" s="282" t="s">
        <v>660</v>
      </c>
      <c r="AR100" s="283">
        <v>100000000</v>
      </c>
      <c r="AS100" s="279"/>
      <c r="AT100" s="279"/>
      <c r="AU100" s="280">
        <f t="shared" si="47"/>
        <v>0</v>
      </c>
      <c r="AV100" s="280">
        <f t="shared" si="48"/>
        <v>0</v>
      </c>
      <c r="AW100" s="280">
        <f t="shared" si="49"/>
        <v>0</v>
      </c>
      <c r="AX100" s="280">
        <f t="shared" si="50"/>
        <v>0</v>
      </c>
      <c r="AY100" s="284">
        <v>2</v>
      </c>
      <c r="AZ100" s="282" t="s">
        <v>660</v>
      </c>
      <c r="BA100" s="283">
        <v>100000000</v>
      </c>
      <c r="BB100" s="279"/>
      <c r="BC100" s="279"/>
      <c r="BD100" s="281">
        <f t="shared" si="51"/>
        <v>0</v>
      </c>
      <c r="BE100" s="281">
        <f t="shared" si="52"/>
        <v>0</v>
      </c>
      <c r="BF100" s="281">
        <f t="shared" si="53"/>
        <v>0</v>
      </c>
      <c r="BG100" s="281">
        <f t="shared" si="54"/>
        <v>0</v>
      </c>
      <c r="BH100" s="205">
        <f t="shared" si="36"/>
        <v>0</v>
      </c>
      <c r="BI100" s="205">
        <f t="shared" si="37"/>
        <v>0</v>
      </c>
      <c r="BJ100" s="205">
        <f t="shared" si="38"/>
        <v>0</v>
      </c>
      <c r="BK100" s="205">
        <f t="shared" si="39"/>
        <v>0</v>
      </c>
      <c r="BL100" s="205">
        <f t="shared" si="55"/>
        <v>0</v>
      </c>
      <c r="BM100" s="205">
        <f t="shared" si="56"/>
        <v>0</v>
      </c>
      <c r="BN100" s="205">
        <f t="shared" si="40"/>
        <v>0</v>
      </c>
      <c r="BO100" s="205">
        <f t="shared" si="41"/>
        <v>0</v>
      </c>
      <c r="BP100" s="206"/>
      <c r="BQ100" s="277">
        <v>7</v>
      </c>
      <c r="BR100" s="208">
        <f t="shared" si="42"/>
        <v>5.666666666666667</v>
      </c>
      <c r="BS100" s="219" t="str">
        <f t="shared" si="57"/>
        <v>Realizar capacitación y fortalecimiento de las competencias laborales de los funcionarios</v>
      </c>
      <c r="BT100" s="195">
        <f t="shared" si="30"/>
        <v>233333333.33333334</v>
      </c>
      <c r="BU100" s="196"/>
      <c r="BV100" s="196"/>
      <c r="BW100" s="196"/>
      <c r="BX100" s="196"/>
      <c r="BY100" s="196"/>
      <c r="BZ100" s="19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row>
    <row r="101" spans="1:235" s="156" customFormat="1" ht="99.75" x14ac:dyDescent="0.25">
      <c r="A101" s="197">
        <v>11700</v>
      </c>
      <c r="B101" s="194" t="s">
        <v>29</v>
      </c>
      <c r="C101" s="198" t="s">
        <v>328</v>
      </c>
      <c r="D101" s="194" t="s">
        <v>256</v>
      </c>
      <c r="E101" s="198" t="s">
        <v>407</v>
      </c>
      <c r="F101" s="194" t="s">
        <v>662</v>
      </c>
      <c r="G101" s="209" t="s">
        <v>123</v>
      </c>
      <c r="H101" s="216">
        <v>1</v>
      </c>
      <c r="I101" s="198" t="s">
        <v>629</v>
      </c>
      <c r="J101" s="194" t="s">
        <v>663</v>
      </c>
      <c r="K101" s="210">
        <v>400000000</v>
      </c>
      <c r="L101" s="211">
        <v>1</v>
      </c>
      <c r="M101" s="194" t="s">
        <v>45</v>
      </c>
      <c r="N101" s="194" t="s">
        <v>54</v>
      </c>
      <c r="O101" s="194" t="s">
        <v>37</v>
      </c>
      <c r="P101" s="194" t="s">
        <v>38</v>
      </c>
      <c r="Q101" s="194" t="s">
        <v>218</v>
      </c>
      <c r="R101" s="194" t="s">
        <v>411</v>
      </c>
      <c r="S101" s="194" t="s">
        <v>104</v>
      </c>
      <c r="T101" s="211">
        <v>1</v>
      </c>
      <c r="U101" s="212" t="str">
        <f t="shared" si="43"/>
        <v>Realizar actividades para fortalecer la calidad de vida de los servidores públicos de la entidad, así como el clima organizacional</v>
      </c>
      <c r="V101" s="213">
        <f t="shared" si="43"/>
        <v>400000000</v>
      </c>
      <c r="W101" s="222" t="s">
        <v>114</v>
      </c>
      <c r="X101" s="216">
        <v>0.25</v>
      </c>
      <c r="Y101" s="214" t="s">
        <v>663</v>
      </c>
      <c r="Z101" s="210">
        <v>80000000</v>
      </c>
      <c r="AA101" s="196"/>
      <c r="AB101" s="196"/>
      <c r="AC101" s="204">
        <f t="shared" si="44"/>
        <v>0</v>
      </c>
      <c r="AD101" s="204">
        <f t="shared" si="45"/>
        <v>0</v>
      </c>
      <c r="AE101" s="204">
        <f t="shared" si="31"/>
        <v>0</v>
      </c>
      <c r="AF101" s="204">
        <f t="shared" si="32"/>
        <v>0</v>
      </c>
      <c r="AG101" s="216">
        <v>0.25</v>
      </c>
      <c r="AH101" s="214" t="s">
        <v>663</v>
      </c>
      <c r="AI101" s="210">
        <v>120000000</v>
      </c>
      <c r="AJ101" s="196"/>
      <c r="AK101" s="196"/>
      <c r="AL101" s="204">
        <f t="shared" si="46"/>
        <v>0</v>
      </c>
      <c r="AM101" s="204">
        <f t="shared" si="33"/>
        <v>0</v>
      </c>
      <c r="AN101" s="204">
        <f t="shared" si="34"/>
        <v>0</v>
      </c>
      <c r="AO101" s="204">
        <f t="shared" si="35"/>
        <v>0</v>
      </c>
      <c r="AP101" s="216">
        <v>0.25</v>
      </c>
      <c r="AQ101" s="214" t="s">
        <v>663</v>
      </c>
      <c r="AR101" s="210">
        <v>80000000</v>
      </c>
      <c r="AS101" s="196"/>
      <c r="AT101" s="196"/>
      <c r="AU101" s="204">
        <f t="shared" si="47"/>
        <v>0</v>
      </c>
      <c r="AV101" s="204">
        <f t="shared" si="48"/>
        <v>0</v>
      </c>
      <c r="AW101" s="204">
        <f t="shared" si="49"/>
        <v>0</v>
      </c>
      <c r="AX101" s="204">
        <f t="shared" si="50"/>
        <v>0</v>
      </c>
      <c r="AY101" s="216">
        <v>0.25</v>
      </c>
      <c r="AZ101" s="214" t="s">
        <v>663</v>
      </c>
      <c r="BA101" s="210">
        <v>120000000</v>
      </c>
      <c r="BB101" s="196"/>
      <c r="BC101" s="196"/>
      <c r="BD101" s="216">
        <f t="shared" si="51"/>
        <v>0</v>
      </c>
      <c r="BE101" s="216">
        <f t="shared" si="52"/>
        <v>0</v>
      </c>
      <c r="BF101" s="216">
        <f t="shared" si="53"/>
        <v>0</v>
      </c>
      <c r="BG101" s="216">
        <f t="shared" si="54"/>
        <v>0</v>
      </c>
      <c r="BH101" s="223">
        <f t="shared" si="36"/>
        <v>0</v>
      </c>
      <c r="BI101" s="223">
        <f t="shared" si="37"/>
        <v>0</v>
      </c>
      <c r="BJ101" s="223">
        <f t="shared" si="38"/>
        <v>0</v>
      </c>
      <c r="BK101" s="223">
        <f t="shared" si="39"/>
        <v>0</v>
      </c>
      <c r="BL101" s="223">
        <f t="shared" si="55"/>
        <v>0</v>
      </c>
      <c r="BM101" s="223">
        <f t="shared" si="56"/>
        <v>0</v>
      </c>
      <c r="BN101" s="223">
        <f t="shared" si="40"/>
        <v>0</v>
      </c>
      <c r="BO101" s="223">
        <f t="shared" si="41"/>
        <v>0</v>
      </c>
      <c r="BP101" s="206"/>
      <c r="BQ101" s="277">
        <v>7</v>
      </c>
      <c r="BR101" s="208">
        <f t="shared" si="42"/>
        <v>0.58333333333333337</v>
      </c>
      <c r="BS101" s="219" t="str">
        <f t="shared" si="57"/>
        <v>Realizar actividades para fortalecer la calidad de vida de los servidores públicos de la entidad, así como el clima organizacional</v>
      </c>
      <c r="BT101" s="195">
        <f t="shared" si="30"/>
        <v>226666666.66666666</v>
      </c>
      <c r="BU101" s="196"/>
      <c r="BV101" s="196"/>
      <c r="BW101" s="196"/>
      <c r="BX101" s="196"/>
      <c r="BY101" s="196"/>
      <c r="BZ101" s="19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row>
    <row r="102" spans="1:235" s="153" customFormat="1" ht="99.75" x14ac:dyDescent="0.25">
      <c r="A102" s="197">
        <v>11700</v>
      </c>
      <c r="B102" s="194" t="s">
        <v>29</v>
      </c>
      <c r="C102" s="198" t="s">
        <v>328</v>
      </c>
      <c r="D102" s="194" t="s">
        <v>256</v>
      </c>
      <c r="E102" s="198" t="s">
        <v>412</v>
      </c>
      <c r="F102" s="194" t="s">
        <v>413</v>
      </c>
      <c r="G102" s="209" t="s">
        <v>123</v>
      </c>
      <c r="H102" s="216">
        <v>1</v>
      </c>
      <c r="I102" s="198" t="s">
        <v>416</v>
      </c>
      <c r="J102" s="194" t="s">
        <v>565</v>
      </c>
      <c r="K102" s="210">
        <v>6000000</v>
      </c>
      <c r="L102" s="211">
        <v>1</v>
      </c>
      <c r="M102" s="194" t="s">
        <v>45</v>
      </c>
      <c r="N102" s="194" t="s">
        <v>54</v>
      </c>
      <c r="O102" s="194" t="s">
        <v>37</v>
      </c>
      <c r="P102" s="194" t="s">
        <v>38</v>
      </c>
      <c r="Q102" s="194" t="s">
        <v>218</v>
      </c>
      <c r="R102" s="194" t="s">
        <v>182</v>
      </c>
      <c r="S102" s="194" t="s">
        <v>104</v>
      </c>
      <c r="T102" s="211">
        <v>1</v>
      </c>
      <c r="U102" s="212" t="str">
        <f t="shared" si="43"/>
        <v>Realización de Exámenes de Salud Ocupacional (pre-ocupacionales, exámenes médicos post-ocupacionales y exámenes médicos post-incapacidad)</v>
      </c>
      <c r="V102" s="213">
        <f t="shared" si="43"/>
        <v>6000000</v>
      </c>
      <c r="W102" s="222" t="s">
        <v>114</v>
      </c>
      <c r="X102" s="216">
        <v>0.25</v>
      </c>
      <c r="Y102" s="214" t="s">
        <v>565</v>
      </c>
      <c r="Z102" s="210">
        <v>1500000</v>
      </c>
      <c r="AA102" s="196"/>
      <c r="AB102" s="196"/>
      <c r="AC102" s="204">
        <f t="shared" si="44"/>
        <v>0</v>
      </c>
      <c r="AD102" s="204">
        <f t="shared" si="45"/>
        <v>0</v>
      </c>
      <c r="AE102" s="204">
        <f t="shared" si="31"/>
        <v>0</v>
      </c>
      <c r="AF102" s="204">
        <f t="shared" si="32"/>
        <v>0</v>
      </c>
      <c r="AG102" s="216">
        <v>0.25</v>
      </c>
      <c r="AH102" s="214" t="s">
        <v>565</v>
      </c>
      <c r="AI102" s="210">
        <v>1500000</v>
      </c>
      <c r="AJ102" s="196"/>
      <c r="AK102" s="196"/>
      <c r="AL102" s="204">
        <f t="shared" si="46"/>
        <v>0</v>
      </c>
      <c r="AM102" s="204">
        <f t="shared" si="33"/>
        <v>0</v>
      </c>
      <c r="AN102" s="204">
        <f t="shared" si="34"/>
        <v>0</v>
      </c>
      <c r="AO102" s="204">
        <f t="shared" si="35"/>
        <v>0</v>
      </c>
      <c r="AP102" s="216">
        <v>0.25</v>
      </c>
      <c r="AQ102" s="214" t="s">
        <v>565</v>
      </c>
      <c r="AR102" s="210">
        <v>1500000</v>
      </c>
      <c r="AS102" s="196"/>
      <c r="AT102" s="196"/>
      <c r="AU102" s="204">
        <f t="shared" si="47"/>
        <v>0</v>
      </c>
      <c r="AV102" s="204">
        <f t="shared" si="48"/>
        <v>0</v>
      </c>
      <c r="AW102" s="204">
        <f t="shared" si="49"/>
        <v>0</v>
      </c>
      <c r="AX102" s="204">
        <f t="shared" si="50"/>
        <v>0</v>
      </c>
      <c r="AY102" s="216">
        <v>0.25</v>
      </c>
      <c r="AZ102" s="214" t="s">
        <v>565</v>
      </c>
      <c r="BA102" s="210">
        <v>1500000</v>
      </c>
      <c r="BB102" s="196"/>
      <c r="BC102" s="196"/>
      <c r="BD102" s="216">
        <f t="shared" si="51"/>
        <v>0</v>
      </c>
      <c r="BE102" s="216">
        <f t="shared" si="52"/>
        <v>0</v>
      </c>
      <c r="BF102" s="216">
        <f t="shared" si="53"/>
        <v>0</v>
      </c>
      <c r="BG102" s="216">
        <f t="shared" si="54"/>
        <v>0</v>
      </c>
      <c r="BH102" s="217">
        <f t="shared" si="36"/>
        <v>0</v>
      </c>
      <c r="BI102" s="217">
        <f t="shared" si="37"/>
        <v>0</v>
      </c>
      <c r="BJ102" s="217">
        <f t="shared" si="38"/>
        <v>0</v>
      </c>
      <c r="BK102" s="217">
        <f t="shared" si="39"/>
        <v>0</v>
      </c>
      <c r="BL102" s="217">
        <f t="shared" si="55"/>
        <v>0</v>
      </c>
      <c r="BM102" s="217">
        <f t="shared" si="56"/>
        <v>0</v>
      </c>
      <c r="BN102" s="217">
        <f t="shared" si="40"/>
        <v>0</v>
      </c>
      <c r="BO102" s="217">
        <f t="shared" si="41"/>
        <v>0</v>
      </c>
      <c r="BP102" s="206"/>
      <c r="BQ102" s="277">
        <v>7</v>
      </c>
      <c r="BR102" s="208">
        <f t="shared" si="42"/>
        <v>0.58333333333333337</v>
      </c>
      <c r="BS102" s="219" t="str">
        <f t="shared" si="57"/>
        <v>Realización de Exámenes de Salud Ocupacional (pre-ocupacionales, exámenes médicos post-ocupacionales y exámenes médicos post-incapacidad)</v>
      </c>
      <c r="BT102" s="195">
        <f t="shared" si="30"/>
        <v>3500000</v>
      </c>
      <c r="BU102" s="196"/>
      <c r="BV102" s="196"/>
      <c r="BW102" s="196"/>
      <c r="BX102" s="196"/>
      <c r="BY102" s="196"/>
      <c r="BZ102" s="19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row>
    <row r="103" spans="1:235" s="156" customFormat="1" ht="99.75" x14ac:dyDescent="0.25">
      <c r="A103" s="197">
        <v>11700</v>
      </c>
      <c r="B103" s="194" t="s">
        <v>29</v>
      </c>
      <c r="C103" s="198" t="s">
        <v>328</v>
      </c>
      <c r="D103" s="194" t="s">
        <v>256</v>
      </c>
      <c r="E103" s="198" t="s">
        <v>414</v>
      </c>
      <c r="F103" s="194" t="s">
        <v>408</v>
      </c>
      <c r="G103" s="209" t="s">
        <v>124</v>
      </c>
      <c r="H103" s="198">
        <v>12</v>
      </c>
      <c r="I103" s="198" t="s">
        <v>415</v>
      </c>
      <c r="J103" s="194" t="s">
        <v>417</v>
      </c>
      <c r="K103" s="210">
        <v>62099999.999999993</v>
      </c>
      <c r="L103" s="211">
        <v>1</v>
      </c>
      <c r="M103" s="194" t="s">
        <v>45</v>
      </c>
      <c r="N103" s="194" t="s">
        <v>54</v>
      </c>
      <c r="O103" s="194" t="s">
        <v>37</v>
      </c>
      <c r="P103" s="194" t="s">
        <v>38</v>
      </c>
      <c r="Q103" s="194" t="s">
        <v>218</v>
      </c>
      <c r="R103" s="194" t="s">
        <v>658</v>
      </c>
      <c r="S103" s="194" t="s">
        <v>104</v>
      </c>
      <c r="T103" s="198">
        <v>12</v>
      </c>
      <c r="U103" s="212" t="str">
        <f t="shared" si="43"/>
        <v>Generar y Liquidar Nomina ADRES</v>
      </c>
      <c r="V103" s="213">
        <f t="shared" si="43"/>
        <v>62099999.999999993</v>
      </c>
      <c r="W103" s="222" t="s">
        <v>114</v>
      </c>
      <c r="X103" s="215">
        <v>3</v>
      </c>
      <c r="Y103" s="214" t="s">
        <v>417</v>
      </c>
      <c r="Z103" s="210">
        <v>15524999.999999998</v>
      </c>
      <c r="AA103" s="196"/>
      <c r="AB103" s="196"/>
      <c r="AC103" s="204">
        <f t="shared" si="44"/>
        <v>0</v>
      </c>
      <c r="AD103" s="204">
        <f t="shared" si="45"/>
        <v>0</v>
      </c>
      <c r="AE103" s="204">
        <f t="shared" si="31"/>
        <v>0</v>
      </c>
      <c r="AF103" s="204">
        <f t="shared" si="32"/>
        <v>0</v>
      </c>
      <c r="AG103" s="215">
        <v>3</v>
      </c>
      <c r="AH103" s="214" t="s">
        <v>417</v>
      </c>
      <c r="AI103" s="210">
        <v>15524999.999999998</v>
      </c>
      <c r="AJ103" s="196"/>
      <c r="AK103" s="196"/>
      <c r="AL103" s="204">
        <f t="shared" si="46"/>
        <v>0</v>
      </c>
      <c r="AM103" s="204">
        <f t="shared" si="33"/>
        <v>0</v>
      </c>
      <c r="AN103" s="204">
        <f t="shared" si="34"/>
        <v>0</v>
      </c>
      <c r="AO103" s="204">
        <f t="shared" si="35"/>
        <v>0</v>
      </c>
      <c r="AP103" s="215">
        <v>3</v>
      </c>
      <c r="AQ103" s="214" t="s">
        <v>417</v>
      </c>
      <c r="AR103" s="210">
        <v>15524999.999999998</v>
      </c>
      <c r="AS103" s="196"/>
      <c r="AT103" s="196"/>
      <c r="AU103" s="204">
        <f t="shared" si="47"/>
        <v>0</v>
      </c>
      <c r="AV103" s="204">
        <f t="shared" si="48"/>
        <v>0</v>
      </c>
      <c r="AW103" s="204">
        <f t="shared" si="49"/>
        <v>0</v>
      </c>
      <c r="AX103" s="204">
        <f t="shared" si="50"/>
        <v>0</v>
      </c>
      <c r="AY103" s="215">
        <v>3</v>
      </c>
      <c r="AZ103" s="214" t="s">
        <v>417</v>
      </c>
      <c r="BA103" s="210">
        <v>15524999.999999998</v>
      </c>
      <c r="BB103" s="196"/>
      <c r="BC103" s="196"/>
      <c r="BD103" s="216">
        <f t="shared" si="51"/>
        <v>0</v>
      </c>
      <c r="BE103" s="216">
        <f t="shared" si="52"/>
        <v>0</v>
      </c>
      <c r="BF103" s="216">
        <f t="shared" si="53"/>
        <v>0</v>
      </c>
      <c r="BG103" s="216">
        <f t="shared" si="54"/>
        <v>0</v>
      </c>
      <c r="BH103" s="223">
        <f t="shared" si="36"/>
        <v>0</v>
      </c>
      <c r="BI103" s="223">
        <f t="shared" si="37"/>
        <v>0</v>
      </c>
      <c r="BJ103" s="223">
        <f t="shared" si="38"/>
        <v>0</v>
      </c>
      <c r="BK103" s="223">
        <f t="shared" si="39"/>
        <v>0</v>
      </c>
      <c r="BL103" s="223">
        <f t="shared" si="55"/>
        <v>0</v>
      </c>
      <c r="BM103" s="223">
        <f t="shared" si="56"/>
        <v>0</v>
      </c>
      <c r="BN103" s="223">
        <f t="shared" si="40"/>
        <v>0</v>
      </c>
      <c r="BO103" s="223">
        <f t="shared" si="41"/>
        <v>0</v>
      </c>
      <c r="BP103" s="206"/>
      <c r="BQ103" s="277">
        <v>7</v>
      </c>
      <c r="BR103" s="218">
        <f t="shared" si="42"/>
        <v>7</v>
      </c>
      <c r="BS103" s="219" t="str">
        <f t="shared" si="57"/>
        <v>Generar y Liquidar Nomina ADRES</v>
      </c>
      <c r="BT103" s="195">
        <f t="shared" si="30"/>
        <v>36224999.999999993</v>
      </c>
      <c r="BU103" s="196"/>
      <c r="BV103" s="196"/>
      <c r="BW103" s="196"/>
      <c r="BX103" s="196"/>
      <c r="BY103" s="196"/>
      <c r="BZ103" s="19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row>
    <row r="104" spans="1:235" s="152" customFormat="1" ht="99.75" x14ac:dyDescent="0.25">
      <c r="A104" s="197">
        <v>11700</v>
      </c>
      <c r="B104" s="194" t="s">
        <v>29</v>
      </c>
      <c r="C104" s="198" t="s">
        <v>328</v>
      </c>
      <c r="D104" s="194" t="s">
        <v>256</v>
      </c>
      <c r="E104" s="198" t="s">
        <v>418</v>
      </c>
      <c r="F104" s="201" t="s">
        <v>824</v>
      </c>
      <c r="G104" s="209" t="s">
        <v>659</v>
      </c>
      <c r="H104" s="216">
        <v>1</v>
      </c>
      <c r="I104" s="198" t="s">
        <v>420</v>
      </c>
      <c r="J104" s="201" t="s">
        <v>825</v>
      </c>
      <c r="K104" s="210">
        <v>27880404</v>
      </c>
      <c r="L104" s="211">
        <v>1</v>
      </c>
      <c r="M104" s="194" t="s">
        <v>45</v>
      </c>
      <c r="N104" s="194" t="s">
        <v>54</v>
      </c>
      <c r="O104" s="194" t="s">
        <v>37</v>
      </c>
      <c r="P104" s="194" t="s">
        <v>38</v>
      </c>
      <c r="Q104" s="194" t="s">
        <v>218</v>
      </c>
      <c r="R104" s="201" t="s">
        <v>827</v>
      </c>
      <c r="S104" s="194" t="s">
        <v>104</v>
      </c>
      <c r="T104" s="216">
        <v>1</v>
      </c>
      <c r="U104" s="212" t="str">
        <f t="shared" si="43"/>
        <v>Consolidar, organizar y actualizar los expedientes de hojas de vida de los funcionarios de planta de la ADRES</v>
      </c>
      <c r="V104" s="213">
        <f t="shared" si="43"/>
        <v>27880404</v>
      </c>
      <c r="W104" s="222" t="s">
        <v>114</v>
      </c>
      <c r="X104" s="216">
        <v>0.25</v>
      </c>
      <c r="Y104" s="214" t="s">
        <v>566</v>
      </c>
      <c r="Z104" s="210">
        <v>6970101</v>
      </c>
      <c r="AA104" s="196"/>
      <c r="AB104" s="196"/>
      <c r="AC104" s="204">
        <f t="shared" si="44"/>
        <v>0</v>
      </c>
      <c r="AD104" s="204">
        <f t="shared" si="45"/>
        <v>0</v>
      </c>
      <c r="AE104" s="204">
        <f t="shared" si="31"/>
        <v>0</v>
      </c>
      <c r="AF104" s="204">
        <f t="shared" si="32"/>
        <v>0</v>
      </c>
      <c r="AG104" s="216">
        <v>0.25</v>
      </c>
      <c r="AH104" s="214" t="s">
        <v>566</v>
      </c>
      <c r="AI104" s="210">
        <v>6970101</v>
      </c>
      <c r="AJ104" s="196"/>
      <c r="AK104" s="196">
        <v>0</v>
      </c>
      <c r="AL104" s="204">
        <f t="shared" si="46"/>
        <v>0</v>
      </c>
      <c r="AM104" s="204">
        <f t="shared" si="33"/>
        <v>0</v>
      </c>
      <c r="AN104" s="204">
        <f t="shared" si="34"/>
        <v>0</v>
      </c>
      <c r="AO104" s="204">
        <f t="shared" si="35"/>
        <v>0</v>
      </c>
      <c r="AP104" s="216">
        <v>0.25</v>
      </c>
      <c r="AQ104" s="214" t="s">
        <v>566</v>
      </c>
      <c r="AR104" s="210">
        <v>6970101</v>
      </c>
      <c r="AS104" s="196">
        <v>0</v>
      </c>
      <c r="AT104" s="196"/>
      <c r="AU104" s="204">
        <f t="shared" si="47"/>
        <v>0</v>
      </c>
      <c r="AV104" s="204">
        <f t="shared" si="48"/>
        <v>0</v>
      </c>
      <c r="AW104" s="204">
        <f t="shared" si="49"/>
        <v>0</v>
      </c>
      <c r="AX104" s="204">
        <f t="shared" si="50"/>
        <v>0</v>
      </c>
      <c r="AY104" s="216">
        <v>0.25</v>
      </c>
      <c r="AZ104" s="214" t="s">
        <v>566</v>
      </c>
      <c r="BA104" s="210">
        <v>6970101</v>
      </c>
      <c r="BB104" s="196"/>
      <c r="BC104" s="196"/>
      <c r="BD104" s="216">
        <f t="shared" si="51"/>
        <v>0</v>
      </c>
      <c r="BE104" s="216">
        <f t="shared" si="52"/>
        <v>0</v>
      </c>
      <c r="BF104" s="216">
        <f t="shared" si="53"/>
        <v>0</v>
      </c>
      <c r="BG104" s="216">
        <f t="shared" si="54"/>
        <v>0</v>
      </c>
      <c r="BH104" s="243">
        <f t="shared" si="36"/>
        <v>0</v>
      </c>
      <c r="BI104" s="243">
        <f t="shared" si="37"/>
        <v>0</v>
      </c>
      <c r="BJ104" s="243">
        <f t="shared" si="38"/>
        <v>0</v>
      </c>
      <c r="BK104" s="243">
        <f t="shared" si="39"/>
        <v>0</v>
      </c>
      <c r="BL104" s="243">
        <f t="shared" si="55"/>
        <v>0</v>
      </c>
      <c r="BM104" s="243">
        <f t="shared" si="56"/>
        <v>0</v>
      </c>
      <c r="BN104" s="243">
        <f t="shared" si="40"/>
        <v>0</v>
      </c>
      <c r="BO104" s="243">
        <f t="shared" si="41"/>
        <v>0</v>
      </c>
      <c r="BP104" s="206"/>
      <c r="BQ104" s="277">
        <v>7</v>
      </c>
      <c r="BR104" s="208">
        <f t="shared" si="42"/>
        <v>0.58333333333333337</v>
      </c>
      <c r="BS104" s="219" t="str">
        <f t="shared" si="57"/>
        <v>Consolidar, organizar y actualizar los expedientes de hojas de vida de los funcionarios de planta de la ADRES</v>
      </c>
      <c r="BT104" s="195">
        <f t="shared" si="30"/>
        <v>16263569</v>
      </c>
      <c r="BU104" s="196"/>
      <c r="BV104" s="196"/>
      <c r="BW104" s="196"/>
      <c r="BX104" s="196"/>
      <c r="BY104" s="196"/>
      <c r="BZ104" s="19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row>
    <row r="105" spans="1:235" s="152" customFormat="1" ht="99.75" x14ac:dyDescent="0.25">
      <c r="A105" s="197">
        <v>11700</v>
      </c>
      <c r="B105" s="194" t="s">
        <v>29</v>
      </c>
      <c r="C105" s="198" t="s">
        <v>328</v>
      </c>
      <c r="D105" s="194" t="s">
        <v>256</v>
      </c>
      <c r="E105" s="198" t="s">
        <v>418</v>
      </c>
      <c r="F105" s="194" t="s">
        <v>419</v>
      </c>
      <c r="G105" s="209"/>
      <c r="H105" s="216">
        <v>1</v>
      </c>
      <c r="I105" s="198" t="s">
        <v>630</v>
      </c>
      <c r="J105" s="194" t="s">
        <v>421</v>
      </c>
      <c r="K105" s="210">
        <v>48960000</v>
      </c>
      <c r="L105" s="211">
        <v>1</v>
      </c>
      <c r="M105" s="194" t="s">
        <v>45</v>
      </c>
      <c r="N105" s="194" t="s">
        <v>54</v>
      </c>
      <c r="O105" s="194" t="s">
        <v>37</v>
      </c>
      <c r="P105" s="194" t="s">
        <v>38</v>
      </c>
      <c r="Q105" s="194" t="s">
        <v>218</v>
      </c>
      <c r="R105" s="194" t="s">
        <v>379</v>
      </c>
      <c r="S105" s="194" t="s">
        <v>104</v>
      </c>
      <c r="T105" s="216">
        <v>1</v>
      </c>
      <c r="U105" s="212" t="str">
        <f t="shared" si="43"/>
        <v>Expedición de Certificaciones de Personal</v>
      </c>
      <c r="V105" s="213">
        <f t="shared" si="43"/>
        <v>48960000</v>
      </c>
      <c r="W105" s="222" t="s">
        <v>114</v>
      </c>
      <c r="X105" s="216">
        <v>0.25</v>
      </c>
      <c r="Y105" s="214" t="s">
        <v>421</v>
      </c>
      <c r="Z105" s="210">
        <v>12240000</v>
      </c>
      <c r="AA105" s="196"/>
      <c r="AB105" s="196"/>
      <c r="AC105" s="204">
        <f t="shared" si="44"/>
        <v>0</v>
      </c>
      <c r="AD105" s="204">
        <f t="shared" si="45"/>
        <v>0</v>
      </c>
      <c r="AE105" s="204">
        <f t="shared" si="31"/>
        <v>0</v>
      </c>
      <c r="AF105" s="204">
        <f t="shared" si="32"/>
        <v>0</v>
      </c>
      <c r="AG105" s="216">
        <v>0.25</v>
      </c>
      <c r="AH105" s="214" t="s">
        <v>421</v>
      </c>
      <c r="AI105" s="210">
        <v>12240000</v>
      </c>
      <c r="AJ105" s="196"/>
      <c r="AK105" s="196"/>
      <c r="AL105" s="204">
        <f t="shared" si="46"/>
        <v>0</v>
      </c>
      <c r="AM105" s="204">
        <f t="shared" si="33"/>
        <v>0</v>
      </c>
      <c r="AN105" s="204">
        <f t="shared" si="34"/>
        <v>0</v>
      </c>
      <c r="AO105" s="204">
        <f t="shared" si="35"/>
        <v>0</v>
      </c>
      <c r="AP105" s="216">
        <v>0.25</v>
      </c>
      <c r="AQ105" s="214" t="s">
        <v>421</v>
      </c>
      <c r="AR105" s="210">
        <v>12240000</v>
      </c>
      <c r="AS105" s="196"/>
      <c r="AT105" s="196"/>
      <c r="AU105" s="204">
        <f t="shared" si="47"/>
        <v>0</v>
      </c>
      <c r="AV105" s="204">
        <f t="shared" si="48"/>
        <v>0</v>
      </c>
      <c r="AW105" s="204">
        <f t="shared" si="49"/>
        <v>0</v>
      </c>
      <c r="AX105" s="204">
        <f t="shared" si="50"/>
        <v>0</v>
      </c>
      <c r="AY105" s="216">
        <v>0.25</v>
      </c>
      <c r="AZ105" s="214" t="s">
        <v>421</v>
      </c>
      <c r="BA105" s="210">
        <v>12240000</v>
      </c>
      <c r="BB105" s="196"/>
      <c r="BC105" s="196"/>
      <c r="BD105" s="216">
        <f t="shared" si="51"/>
        <v>0</v>
      </c>
      <c r="BE105" s="216">
        <f t="shared" si="52"/>
        <v>0</v>
      </c>
      <c r="BF105" s="216">
        <f t="shared" si="53"/>
        <v>0</v>
      </c>
      <c r="BG105" s="216">
        <f t="shared" si="54"/>
        <v>0</v>
      </c>
      <c r="BH105" s="243">
        <f t="shared" si="36"/>
        <v>0</v>
      </c>
      <c r="BI105" s="243">
        <f t="shared" si="37"/>
        <v>0</v>
      </c>
      <c r="BJ105" s="243">
        <f t="shared" si="38"/>
        <v>0</v>
      </c>
      <c r="BK105" s="243">
        <f t="shared" si="39"/>
        <v>0</v>
      </c>
      <c r="BL105" s="243">
        <f t="shared" si="55"/>
        <v>0</v>
      </c>
      <c r="BM105" s="243">
        <f t="shared" si="56"/>
        <v>0</v>
      </c>
      <c r="BN105" s="243">
        <f t="shared" si="40"/>
        <v>0</v>
      </c>
      <c r="BO105" s="243">
        <f t="shared" si="41"/>
        <v>0</v>
      </c>
      <c r="BP105" s="206"/>
      <c r="BQ105" s="277">
        <v>7</v>
      </c>
      <c r="BR105" s="208">
        <f t="shared" si="42"/>
        <v>0.58333333333333337</v>
      </c>
      <c r="BS105" s="219" t="str">
        <f t="shared" si="57"/>
        <v>Expedición de Certificaciones de Personal</v>
      </c>
      <c r="BT105" s="195">
        <f t="shared" si="30"/>
        <v>28560000</v>
      </c>
      <c r="BU105" s="196"/>
      <c r="BV105" s="196"/>
      <c r="BW105" s="196"/>
      <c r="BX105" s="196"/>
      <c r="BY105" s="196"/>
      <c r="BZ105" s="19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row>
    <row r="106" spans="1:235" s="155" customFormat="1" ht="99.75" x14ac:dyDescent="0.25">
      <c r="A106" s="197">
        <v>11700</v>
      </c>
      <c r="B106" s="194" t="s">
        <v>29</v>
      </c>
      <c r="C106" s="198" t="s">
        <v>328</v>
      </c>
      <c r="D106" s="194" t="s">
        <v>256</v>
      </c>
      <c r="E106" s="198" t="s">
        <v>422</v>
      </c>
      <c r="F106" s="194" t="s">
        <v>755</v>
      </c>
      <c r="G106" s="209" t="s">
        <v>123</v>
      </c>
      <c r="H106" s="211">
        <v>1</v>
      </c>
      <c r="I106" s="198" t="s">
        <v>423</v>
      </c>
      <c r="J106" s="194" t="s">
        <v>756</v>
      </c>
      <c r="K106" s="210">
        <v>100000000</v>
      </c>
      <c r="L106" s="211">
        <v>1</v>
      </c>
      <c r="M106" s="194" t="s">
        <v>48</v>
      </c>
      <c r="N106" s="194" t="s">
        <v>68</v>
      </c>
      <c r="O106" s="194" t="s">
        <v>37</v>
      </c>
      <c r="P106" s="194" t="s">
        <v>38</v>
      </c>
      <c r="Q106" s="194" t="s">
        <v>229</v>
      </c>
      <c r="R106" s="194" t="s">
        <v>670</v>
      </c>
      <c r="S106" s="194" t="s">
        <v>99</v>
      </c>
      <c r="T106" s="216">
        <v>1</v>
      </c>
      <c r="U106" s="212" t="str">
        <f t="shared" si="43"/>
        <v>Publicación Actos Administrativos Diario Oficial y diario de amplia circulación</v>
      </c>
      <c r="V106" s="213">
        <f t="shared" si="43"/>
        <v>100000000</v>
      </c>
      <c r="W106" s="222" t="s">
        <v>114</v>
      </c>
      <c r="X106" s="216">
        <v>0</v>
      </c>
      <c r="Y106" s="214" t="s">
        <v>424</v>
      </c>
      <c r="Z106" s="210">
        <v>0</v>
      </c>
      <c r="AA106" s="196"/>
      <c r="AB106" s="196"/>
      <c r="AC106" s="204" t="e">
        <f t="shared" si="44"/>
        <v>#DIV/0!</v>
      </c>
      <c r="AD106" s="204" t="e">
        <f t="shared" si="45"/>
        <v>#DIV/0!</v>
      </c>
      <c r="AE106" s="204">
        <f t="shared" si="31"/>
        <v>0</v>
      </c>
      <c r="AF106" s="204">
        <f t="shared" si="32"/>
        <v>0</v>
      </c>
      <c r="AG106" s="216">
        <v>0.5</v>
      </c>
      <c r="AH106" s="214" t="s">
        <v>424</v>
      </c>
      <c r="AI106" s="210">
        <v>50000000</v>
      </c>
      <c r="AJ106" s="196"/>
      <c r="AK106" s="196"/>
      <c r="AL106" s="204">
        <f t="shared" si="46"/>
        <v>0</v>
      </c>
      <c r="AM106" s="204">
        <f t="shared" si="33"/>
        <v>0</v>
      </c>
      <c r="AN106" s="204">
        <f t="shared" si="34"/>
        <v>0</v>
      </c>
      <c r="AO106" s="204">
        <f t="shared" si="35"/>
        <v>0</v>
      </c>
      <c r="AP106" s="216"/>
      <c r="AQ106" s="214" t="s">
        <v>424</v>
      </c>
      <c r="AR106" s="210">
        <v>0</v>
      </c>
      <c r="AS106" s="196"/>
      <c r="AT106" s="196"/>
      <c r="AU106" s="204" t="e">
        <f t="shared" si="47"/>
        <v>#DIV/0!</v>
      </c>
      <c r="AV106" s="204" t="e">
        <f t="shared" si="48"/>
        <v>#DIV/0!</v>
      </c>
      <c r="AW106" s="204">
        <f t="shared" si="49"/>
        <v>0</v>
      </c>
      <c r="AX106" s="204">
        <f t="shared" si="50"/>
        <v>0</v>
      </c>
      <c r="AY106" s="216">
        <v>0.5</v>
      </c>
      <c r="AZ106" s="214" t="s">
        <v>424</v>
      </c>
      <c r="BA106" s="210">
        <v>50000000</v>
      </c>
      <c r="BB106" s="196"/>
      <c r="BC106" s="196"/>
      <c r="BD106" s="216">
        <f t="shared" si="51"/>
        <v>0</v>
      </c>
      <c r="BE106" s="216">
        <f t="shared" si="52"/>
        <v>0</v>
      </c>
      <c r="BF106" s="216">
        <f t="shared" si="53"/>
        <v>0</v>
      </c>
      <c r="BG106" s="216">
        <f t="shared" si="54"/>
        <v>0</v>
      </c>
      <c r="BH106" s="228" t="str">
        <f t="shared" si="36"/>
        <v>No Prog ni Ejec</v>
      </c>
      <c r="BI106" s="228" t="str">
        <f t="shared" si="37"/>
        <v>No Prog ni Ejec</v>
      </c>
      <c r="BJ106" s="228">
        <f t="shared" si="38"/>
        <v>0</v>
      </c>
      <c r="BK106" s="228">
        <f t="shared" si="39"/>
        <v>0</v>
      </c>
      <c r="BL106" s="228" t="str">
        <f t="shared" si="55"/>
        <v>No Prog ni Ejec</v>
      </c>
      <c r="BM106" s="228" t="str">
        <f t="shared" si="56"/>
        <v>No Prog ni Ejec</v>
      </c>
      <c r="BN106" s="228">
        <f t="shared" si="40"/>
        <v>0</v>
      </c>
      <c r="BO106" s="228">
        <f t="shared" si="41"/>
        <v>0</v>
      </c>
      <c r="BP106" s="206"/>
      <c r="BQ106" s="277">
        <v>7</v>
      </c>
      <c r="BR106" s="208">
        <f t="shared" si="42"/>
        <v>0.5</v>
      </c>
      <c r="BS106" s="219" t="str">
        <f t="shared" si="57"/>
        <v>Publicación Actos Administrativos Diario Oficial y diario de amplia circulación</v>
      </c>
      <c r="BT106" s="195">
        <f t="shared" si="30"/>
        <v>50000000</v>
      </c>
      <c r="BU106" s="196"/>
      <c r="BV106" s="196"/>
      <c r="BW106" s="196"/>
      <c r="BX106" s="196"/>
      <c r="BY106" s="196"/>
      <c r="BZ106" s="19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CZ106" s="146"/>
      <c r="DA106" s="146"/>
      <c r="DB106" s="146"/>
      <c r="DC106" s="146"/>
      <c r="DD106" s="146"/>
      <c r="DE106" s="146"/>
      <c r="DF106" s="146"/>
      <c r="DG106" s="146"/>
      <c r="DH106" s="146"/>
      <c r="DI106" s="146"/>
      <c r="DJ106" s="146"/>
      <c r="DK106" s="146"/>
      <c r="DL106" s="146"/>
      <c r="DM106" s="146"/>
      <c r="DN106" s="146"/>
      <c r="DO106" s="146"/>
      <c r="DP106" s="146"/>
      <c r="DQ106" s="146"/>
      <c r="DR106" s="146"/>
      <c r="DS106" s="146"/>
      <c r="DT106" s="146"/>
      <c r="DU106" s="146"/>
      <c r="DV106" s="146"/>
      <c r="DW106" s="146"/>
      <c r="DX106" s="146"/>
      <c r="DY106" s="146"/>
      <c r="DZ106" s="146"/>
      <c r="EA106" s="146"/>
      <c r="EB106" s="146"/>
      <c r="EC106" s="146"/>
      <c r="ED106" s="146"/>
      <c r="EE106" s="146"/>
      <c r="EF106" s="146"/>
      <c r="EG106" s="146"/>
      <c r="EH106" s="146"/>
      <c r="EI106" s="146"/>
      <c r="EJ106" s="146"/>
      <c r="EK106" s="146"/>
      <c r="EL106" s="146"/>
      <c r="EM106" s="146"/>
      <c r="EN106" s="146"/>
      <c r="EO106" s="146"/>
      <c r="EP106" s="146"/>
      <c r="EQ106" s="146"/>
      <c r="ER106" s="146"/>
      <c r="ES106" s="146"/>
      <c r="ET106" s="146"/>
      <c r="EU106" s="14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c r="GU106" s="146"/>
      <c r="GV106" s="146"/>
      <c r="GW106" s="146"/>
      <c r="GX106" s="146"/>
      <c r="GY106" s="146"/>
      <c r="GZ106" s="146"/>
      <c r="HA106" s="146"/>
      <c r="HB106" s="146"/>
      <c r="HC106" s="146"/>
      <c r="HD106" s="146"/>
      <c r="HE106" s="146"/>
      <c r="HF106" s="146"/>
      <c r="HG106" s="146"/>
      <c r="HH106" s="146"/>
      <c r="HI106" s="146"/>
      <c r="HJ106" s="146"/>
      <c r="HK106" s="146"/>
      <c r="HL106" s="146"/>
      <c r="HM106" s="146"/>
      <c r="HN106" s="146"/>
      <c r="HO106" s="146"/>
      <c r="HP106" s="146"/>
      <c r="HQ106" s="146"/>
      <c r="HR106" s="146"/>
      <c r="HS106" s="146"/>
      <c r="HT106" s="146"/>
      <c r="HU106" s="146"/>
      <c r="HV106" s="146"/>
      <c r="HW106" s="146"/>
      <c r="HX106" s="146"/>
      <c r="HY106" s="146"/>
      <c r="HZ106" s="146"/>
      <c r="IA106" s="146"/>
    </row>
    <row r="107" spans="1:235" s="154" customFormat="1" ht="99.75" x14ac:dyDescent="0.25">
      <c r="A107" s="197">
        <v>11700</v>
      </c>
      <c r="B107" s="194" t="s">
        <v>29</v>
      </c>
      <c r="C107" s="198" t="s">
        <v>328</v>
      </c>
      <c r="D107" s="194" t="s">
        <v>256</v>
      </c>
      <c r="E107" s="198" t="s">
        <v>425</v>
      </c>
      <c r="F107" s="194" t="s">
        <v>426</v>
      </c>
      <c r="G107" s="209" t="s">
        <v>123</v>
      </c>
      <c r="H107" s="216">
        <v>1</v>
      </c>
      <c r="I107" s="198" t="s">
        <v>427</v>
      </c>
      <c r="J107" s="194" t="s">
        <v>428</v>
      </c>
      <c r="K107" s="210">
        <v>4583312678.8699999</v>
      </c>
      <c r="L107" s="211">
        <v>1</v>
      </c>
      <c r="M107" s="194" t="s">
        <v>51</v>
      </c>
      <c r="N107" s="194" t="s">
        <v>56</v>
      </c>
      <c r="O107" s="194" t="s">
        <v>37</v>
      </c>
      <c r="P107" s="194" t="s">
        <v>41</v>
      </c>
      <c r="Q107" s="194" t="s">
        <v>222</v>
      </c>
      <c r="R107" s="194" t="s">
        <v>379</v>
      </c>
      <c r="S107" s="194" t="s">
        <v>99</v>
      </c>
      <c r="T107" s="211">
        <v>1</v>
      </c>
      <c r="U107" s="212" t="str">
        <f t="shared" si="43"/>
        <v>Funcionamiento continuo de las instalaciones de la ADRES</v>
      </c>
      <c r="V107" s="213">
        <f t="shared" si="43"/>
        <v>4583312678.8699999</v>
      </c>
      <c r="W107" s="222" t="s">
        <v>114</v>
      </c>
      <c r="X107" s="216">
        <v>0.2</v>
      </c>
      <c r="Y107" s="214" t="s">
        <v>428</v>
      </c>
      <c r="Z107" s="210">
        <f>+V107*X107</f>
        <v>916662535.77400005</v>
      </c>
      <c r="AA107" s="196"/>
      <c r="AB107" s="196"/>
      <c r="AC107" s="204">
        <f t="shared" si="44"/>
        <v>0</v>
      </c>
      <c r="AD107" s="204">
        <f t="shared" si="45"/>
        <v>0</v>
      </c>
      <c r="AE107" s="204">
        <f t="shared" si="31"/>
        <v>0</v>
      </c>
      <c r="AF107" s="204">
        <f t="shared" si="32"/>
        <v>0</v>
      </c>
      <c r="AG107" s="216">
        <v>0.2</v>
      </c>
      <c r="AH107" s="214" t="s">
        <v>428</v>
      </c>
      <c r="AI107" s="210">
        <v>916662535.77400005</v>
      </c>
      <c r="AJ107" s="196"/>
      <c r="AK107" s="196"/>
      <c r="AL107" s="204">
        <f t="shared" si="46"/>
        <v>0</v>
      </c>
      <c r="AM107" s="204">
        <f t="shared" si="33"/>
        <v>0</v>
      </c>
      <c r="AN107" s="204">
        <f t="shared" si="34"/>
        <v>0</v>
      </c>
      <c r="AO107" s="204">
        <f t="shared" si="35"/>
        <v>0</v>
      </c>
      <c r="AP107" s="216">
        <v>0.3</v>
      </c>
      <c r="AQ107" s="214" t="s">
        <v>428</v>
      </c>
      <c r="AR107" s="210">
        <f>+AP107*V107</f>
        <v>1374993803.661</v>
      </c>
      <c r="AS107" s="196"/>
      <c r="AT107" s="196"/>
      <c r="AU107" s="204">
        <f t="shared" si="47"/>
        <v>0</v>
      </c>
      <c r="AV107" s="204">
        <f t="shared" si="48"/>
        <v>0</v>
      </c>
      <c r="AW107" s="204">
        <f t="shared" si="49"/>
        <v>0</v>
      </c>
      <c r="AX107" s="204">
        <f t="shared" si="50"/>
        <v>0</v>
      </c>
      <c r="AY107" s="216">
        <v>0.3</v>
      </c>
      <c r="AZ107" s="214" t="s">
        <v>428</v>
      </c>
      <c r="BA107" s="210">
        <v>1374993803.661</v>
      </c>
      <c r="BB107" s="196"/>
      <c r="BC107" s="196"/>
      <c r="BD107" s="216">
        <f t="shared" si="51"/>
        <v>0</v>
      </c>
      <c r="BE107" s="216">
        <f t="shared" si="52"/>
        <v>0</v>
      </c>
      <c r="BF107" s="216">
        <f t="shared" si="53"/>
        <v>0</v>
      </c>
      <c r="BG107" s="216">
        <f t="shared" si="54"/>
        <v>0</v>
      </c>
      <c r="BH107" s="207">
        <f t="shared" si="36"/>
        <v>0</v>
      </c>
      <c r="BI107" s="207">
        <f t="shared" si="37"/>
        <v>0</v>
      </c>
      <c r="BJ107" s="207">
        <f t="shared" si="38"/>
        <v>0</v>
      </c>
      <c r="BK107" s="207">
        <f t="shared" si="39"/>
        <v>0</v>
      </c>
      <c r="BL107" s="207">
        <f t="shared" si="55"/>
        <v>0</v>
      </c>
      <c r="BM107" s="207">
        <f t="shared" si="56"/>
        <v>0</v>
      </c>
      <c r="BN107" s="207">
        <f t="shared" si="40"/>
        <v>0</v>
      </c>
      <c r="BO107" s="207">
        <f t="shared" si="41"/>
        <v>0</v>
      </c>
      <c r="BP107" s="206" t="s">
        <v>769</v>
      </c>
      <c r="BQ107" s="277">
        <v>7</v>
      </c>
      <c r="BR107" s="208">
        <f t="shared" si="42"/>
        <v>0.5</v>
      </c>
      <c r="BS107" s="219" t="str">
        <f t="shared" si="57"/>
        <v>Funcionamiento continuo de las instalaciones de la ADRES</v>
      </c>
      <c r="BT107" s="195">
        <f t="shared" si="30"/>
        <v>2291656339.4349999</v>
      </c>
      <c r="BU107" s="196"/>
      <c r="BV107" s="196"/>
      <c r="BW107" s="196"/>
      <c r="BX107" s="196"/>
      <c r="BY107" s="196"/>
      <c r="BZ107" s="19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c r="GU107" s="146"/>
      <c r="GV107" s="146"/>
      <c r="GW107" s="146"/>
      <c r="GX107" s="146"/>
      <c r="GY107" s="146"/>
      <c r="GZ107" s="146"/>
      <c r="HA107" s="146"/>
      <c r="HB107" s="146"/>
      <c r="HC107" s="146"/>
      <c r="HD107" s="146"/>
      <c r="HE107" s="146"/>
      <c r="HF107" s="146"/>
      <c r="HG107" s="146"/>
      <c r="HH107" s="146"/>
      <c r="HI107" s="146"/>
      <c r="HJ107" s="146"/>
      <c r="HK107" s="146"/>
      <c r="HL107" s="146"/>
      <c r="HM107" s="146"/>
      <c r="HN107" s="146"/>
      <c r="HO107" s="146"/>
      <c r="HP107" s="146"/>
      <c r="HQ107" s="146"/>
      <c r="HR107" s="146"/>
      <c r="HS107" s="146"/>
      <c r="HT107" s="146"/>
      <c r="HU107" s="146"/>
      <c r="HV107" s="146"/>
      <c r="HW107" s="146"/>
      <c r="HX107" s="146"/>
      <c r="HY107" s="146"/>
      <c r="HZ107" s="146"/>
      <c r="IA107" s="146"/>
    </row>
    <row r="108" spans="1:235" s="154" customFormat="1" ht="99.75" x14ac:dyDescent="0.25">
      <c r="A108" s="197">
        <v>11700</v>
      </c>
      <c r="B108" s="194" t="s">
        <v>29</v>
      </c>
      <c r="C108" s="198" t="s">
        <v>328</v>
      </c>
      <c r="D108" s="194" t="s">
        <v>256</v>
      </c>
      <c r="E108" s="198" t="s">
        <v>429</v>
      </c>
      <c r="F108" s="194" t="s">
        <v>430</v>
      </c>
      <c r="G108" s="209" t="s">
        <v>123</v>
      </c>
      <c r="H108" s="216">
        <v>1</v>
      </c>
      <c r="I108" s="198" t="s">
        <v>457</v>
      </c>
      <c r="J108" s="194" t="s">
        <v>761</v>
      </c>
      <c r="K108" s="210">
        <v>570000000</v>
      </c>
      <c r="L108" s="211">
        <v>1</v>
      </c>
      <c r="M108" s="194" t="s">
        <v>51</v>
      </c>
      <c r="N108" s="194" t="s">
        <v>56</v>
      </c>
      <c r="O108" s="194" t="s">
        <v>37</v>
      </c>
      <c r="P108" s="194" t="s">
        <v>41</v>
      </c>
      <c r="Q108" s="194" t="s">
        <v>222</v>
      </c>
      <c r="R108" s="194" t="s">
        <v>657</v>
      </c>
      <c r="S108" s="194" t="s">
        <v>99</v>
      </c>
      <c r="T108" s="216">
        <v>1</v>
      </c>
      <c r="U108" s="212" t="str">
        <f t="shared" si="43"/>
        <v xml:space="preserve">Suministro de Tiquetes Aéreos y Viáticos </v>
      </c>
      <c r="V108" s="213">
        <f t="shared" si="43"/>
        <v>570000000</v>
      </c>
      <c r="W108" s="222" t="s">
        <v>114</v>
      </c>
      <c r="X108" s="216">
        <v>0.25</v>
      </c>
      <c r="Y108" s="214" t="s">
        <v>761</v>
      </c>
      <c r="Z108" s="210">
        <f>+X108*V108</f>
        <v>142500000</v>
      </c>
      <c r="AA108" s="196"/>
      <c r="AB108" s="196"/>
      <c r="AC108" s="204">
        <f t="shared" si="44"/>
        <v>0</v>
      </c>
      <c r="AD108" s="204">
        <f t="shared" si="45"/>
        <v>0</v>
      </c>
      <c r="AE108" s="204">
        <f t="shared" si="31"/>
        <v>0</v>
      </c>
      <c r="AF108" s="204">
        <f t="shared" si="32"/>
        <v>0</v>
      </c>
      <c r="AG108" s="216">
        <v>0.25</v>
      </c>
      <c r="AH108" s="214" t="s">
        <v>761</v>
      </c>
      <c r="AI108" s="210">
        <f>+AG108*V108</f>
        <v>142500000</v>
      </c>
      <c r="AJ108" s="196"/>
      <c r="AK108" s="196"/>
      <c r="AL108" s="204">
        <f t="shared" si="46"/>
        <v>0</v>
      </c>
      <c r="AM108" s="204">
        <f t="shared" si="33"/>
        <v>0</v>
      </c>
      <c r="AN108" s="204">
        <f t="shared" si="34"/>
        <v>0</v>
      </c>
      <c r="AO108" s="204">
        <f t="shared" si="35"/>
        <v>0</v>
      </c>
      <c r="AP108" s="216">
        <v>0.25</v>
      </c>
      <c r="AQ108" s="214" t="s">
        <v>761</v>
      </c>
      <c r="AR108" s="210">
        <f>+AP108*V108</f>
        <v>142500000</v>
      </c>
      <c r="AS108" s="196"/>
      <c r="AT108" s="196"/>
      <c r="AU108" s="204">
        <f t="shared" si="47"/>
        <v>0</v>
      </c>
      <c r="AV108" s="204">
        <f t="shared" si="48"/>
        <v>0</v>
      </c>
      <c r="AW108" s="204">
        <f t="shared" si="49"/>
        <v>0</v>
      </c>
      <c r="AX108" s="204">
        <f t="shared" si="50"/>
        <v>0</v>
      </c>
      <c r="AY108" s="216">
        <v>0.25</v>
      </c>
      <c r="AZ108" s="214" t="s">
        <v>761</v>
      </c>
      <c r="BA108" s="210">
        <f>+AY108*V108</f>
        <v>142500000</v>
      </c>
      <c r="BB108" s="196"/>
      <c r="BC108" s="196"/>
      <c r="BD108" s="216">
        <f t="shared" si="51"/>
        <v>0</v>
      </c>
      <c r="BE108" s="216">
        <f t="shared" si="52"/>
        <v>0</v>
      </c>
      <c r="BF108" s="216">
        <f t="shared" si="53"/>
        <v>0</v>
      </c>
      <c r="BG108" s="216">
        <f t="shared" si="54"/>
        <v>0</v>
      </c>
      <c r="BH108" s="207">
        <f t="shared" si="36"/>
        <v>0</v>
      </c>
      <c r="BI108" s="207">
        <f t="shared" si="37"/>
        <v>0</v>
      </c>
      <c r="BJ108" s="207">
        <f t="shared" si="38"/>
        <v>0</v>
      </c>
      <c r="BK108" s="207">
        <f t="shared" si="39"/>
        <v>0</v>
      </c>
      <c r="BL108" s="207">
        <f t="shared" si="55"/>
        <v>0</v>
      </c>
      <c r="BM108" s="207">
        <f t="shared" si="56"/>
        <v>0</v>
      </c>
      <c r="BN108" s="207">
        <f t="shared" si="40"/>
        <v>0</v>
      </c>
      <c r="BO108" s="207">
        <f t="shared" si="41"/>
        <v>0</v>
      </c>
      <c r="BP108" s="206"/>
      <c r="BQ108" s="277">
        <v>7</v>
      </c>
      <c r="BR108" s="208">
        <f t="shared" si="42"/>
        <v>0.58333333333333337</v>
      </c>
      <c r="BS108" s="219" t="str">
        <f t="shared" si="57"/>
        <v xml:space="preserve">Suministro de Tiquetes Aéreos y Viáticos </v>
      </c>
      <c r="BT108" s="195">
        <f t="shared" si="30"/>
        <v>332500000</v>
      </c>
      <c r="BU108" s="196"/>
      <c r="BV108" s="196"/>
      <c r="BW108" s="196"/>
      <c r="BX108" s="196"/>
      <c r="BY108" s="196"/>
      <c r="BZ108" s="19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c r="GU108" s="146"/>
      <c r="GV108" s="146"/>
      <c r="GW108" s="146"/>
      <c r="GX108" s="146"/>
      <c r="GY108" s="146"/>
      <c r="GZ108" s="146"/>
      <c r="HA108" s="146"/>
      <c r="HB108" s="146"/>
      <c r="HC108" s="146"/>
      <c r="HD108" s="146"/>
      <c r="HE108" s="146"/>
      <c r="HF108" s="146"/>
      <c r="HG108" s="146"/>
      <c r="HH108" s="146"/>
      <c r="HI108" s="146"/>
      <c r="HJ108" s="146"/>
      <c r="HK108" s="146"/>
      <c r="HL108" s="146"/>
      <c r="HM108" s="146"/>
      <c r="HN108" s="146"/>
      <c r="HO108" s="146"/>
      <c r="HP108" s="146"/>
      <c r="HQ108" s="146"/>
      <c r="HR108" s="146"/>
      <c r="HS108" s="146"/>
      <c r="HT108" s="146"/>
      <c r="HU108" s="146"/>
      <c r="HV108" s="146"/>
      <c r="HW108" s="146"/>
      <c r="HX108" s="146"/>
      <c r="HY108" s="146"/>
      <c r="HZ108" s="146"/>
      <c r="IA108" s="146"/>
    </row>
    <row r="109" spans="1:235" s="156" customFormat="1" ht="99.75" x14ac:dyDescent="0.25">
      <c r="A109" s="197">
        <v>11700</v>
      </c>
      <c r="B109" s="194" t="s">
        <v>29</v>
      </c>
      <c r="C109" s="198" t="s">
        <v>328</v>
      </c>
      <c r="D109" s="194" t="s">
        <v>256</v>
      </c>
      <c r="E109" s="198" t="s">
        <v>431</v>
      </c>
      <c r="F109" s="194" t="s">
        <v>433</v>
      </c>
      <c r="G109" s="209" t="s">
        <v>123</v>
      </c>
      <c r="H109" s="211">
        <v>1</v>
      </c>
      <c r="I109" s="198" t="s">
        <v>432</v>
      </c>
      <c r="J109" s="194" t="s">
        <v>434</v>
      </c>
      <c r="K109" s="210">
        <v>1170191442</v>
      </c>
      <c r="L109" s="211">
        <v>1</v>
      </c>
      <c r="M109" s="194" t="s">
        <v>46</v>
      </c>
      <c r="N109" s="194" t="s">
        <v>59</v>
      </c>
      <c r="O109" s="194" t="s">
        <v>37</v>
      </c>
      <c r="P109" s="194" t="s">
        <v>40</v>
      </c>
      <c r="Q109" s="194" t="s">
        <v>221</v>
      </c>
      <c r="R109" s="194" t="s">
        <v>643</v>
      </c>
      <c r="S109" s="194" t="s">
        <v>99</v>
      </c>
      <c r="T109" s="244">
        <v>1</v>
      </c>
      <c r="U109" s="212" t="str">
        <f t="shared" si="43"/>
        <v xml:space="preserve">Garantizar la gestión de correspondencia de la entidad </v>
      </c>
      <c r="V109" s="213">
        <f t="shared" si="43"/>
        <v>1170191442</v>
      </c>
      <c r="W109" s="222" t="s">
        <v>114</v>
      </c>
      <c r="X109" s="216">
        <v>0.25</v>
      </c>
      <c r="Y109" s="214" t="s">
        <v>434</v>
      </c>
      <c r="Z109" s="210">
        <v>292547860.5</v>
      </c>
      <c r="AA109" s="196"/>
      <c r="AB109" s="196"/>
      <c r="AC109" s="204">
        <f t="shared" si="44"/>
        <v>0</v>
      </c>
      <c r="AD109" s="204">
        <f t="shared" si="45"/>
        <v>0</v>
      </c>
      <c r="AE109" s="204">
        <f t="shared" si="31"/>
        <v>0</v>
      </c>
      <c r="AF109" s="204">
        <f t="shared" si="32"/>
        <v>0</v>
      </c>
      <c r="AG109" s="216">
        <v>0.25</v>
      </c>
      <c r="AH109" s="214" t="s">
        <v>434</v>
      </c>
      <c r="AI109" s="210">
        <v>292547860.5</v>
      </c>
      <c r="AJ109" s="196"/>
      <c r="AK109" s="196"/>
      <c r="AL109" s="204">
        <f t="shared" si="46"/>
        <v>0</v>
      </c>
      <c r="AM109" s="204">
        <f t="shared" si="33"/>
        <v>0</v>
      </c>
      <c r="AN109" s="204">
        <f t="shared" si="34"/>
        <v>0</v>
      </c>
      <c r="AO109" s="204">
        <f t="shared" si="35"/>
        <v>0</v>
      </c>
      <c r="AP109" s="216">
        <v>0.25</v>
      </c>
      <c r="AQ109" s="214" t="s">
        <v>434</v>
      </c>
      <c r="AR109" s="210">
        <v>292547860.5</v>
      </c>
      <c r="AS109" s="196"/>
      <c r="AT109" s="196"/>
      <c r="AU109" s="204">
        <f t="shared" si="47"/>
        <v>0</v>
      </c>
      <c r="AV109" s="204">
        <f t="shared" si="48"/>
        <v>0</v>
      </c>
      <c r="AW109" s="204">
        <f t="shared" si="49"/>
        <v>0</v>
      </c>
      <c r="AX109" s="204">
        <f t="shared" si="50"/>
        <v>0</v>
      </c>
      <c r="AY109" s="216">
        <v>0.25</v>
      </c>
      <c r="AZ109" s="214" t="s">
        <v>434</v>
      </c>
      <c r="BA109" s="210">
        <v>292547860.5</v>
      </c>
      <c r="BB109" s="196"/>
      <c r="BC109" s="196"/>
      <c r="BD109" s="216">
        <f t="shared" si="51"/>
        <v>0</v>
      </c>
      <c r="BE109" s="216">
        <f t="shared" si="52"/>
        <v>0</v>
      </c>
      <c r="BF109" s="216">
        <f t="shared" si="53"/>
        <v>0</v>
      </c>
      <c r="BG109" s="216">
        <f t="shared" si="54"/>
        <v>0</v>
      </c>
      <c r="BH109" s="223">
        <f t="shared" si="36"/>
        <v>0</v>
      </c>
      <c r="BI109" s="223">
        <f t="shared" si="37"/>
        <v>0</v>
      </c>
      <c r="BJ109" s="223">
        <f t="shared" si="38"/>
        <v>0</v>
      </c>
      <c r="BK109" s="223">
        <f t="shared" si="39"/>
        <v>0</v>
      </c>
      <c r="BL109" s="223">
        <f t="shared" si="55"/>
        <v>0</v>
      </c>
      <c r="BM109" s="223">
        <f t="shared" si="56"/>
        <v>0</v>
      </c>
      <c r="BN109" s="223">
        <f t="shared" si="40"/>
        <v>0</v>
      </c>
      <c r="BO109" s="223">
        <f t="shared" si="41"/>
        <v>0</v>
      </c>
      <c r="BP109" s="206"/>
      <c r="BQ109" s="277">
        <v>7</v>
      </c>
      <c r="BR109" s="208">
        <f t="shared" si="42"/>
        <v>0.58333333333333337</v>
      </c>
      <c r="BS109" s="219" t="str">
        <f t="shared" si="57"/>
        <v xml:space="preserve">Garantizar la gestión de correspondencia de la entidad </v>
      </c>
      <c r="BT109" s="195">
        <f t="shared" si="30"/>
        <v>682611674.5</v>
      </c>
      <c r="BU109" s="196"/>
      <c r="BV109" s="196"/>
      <c r="BW109" s="196"/>
      <c r="BX109" s="196"/>
      <c r="BY109" s="196"/>
      <c r="BZ109" s="19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c r="GU109" s="146"/>
      <c r="GV109" s="146"/>
      <c r="GW109" s="146"/>
      <c r="GX109" s="146"/>
      <c r="GY109" s="146"/>
      <c r="GZ109" s="146"/>
      <c r="HA109" s="146"/>
      <c r="HB109" s="146"/>
      <c r="HC109" s="146"/>
      <c r="HD109" s="146"/>
      <c r="HE109" s="146"/>
      <c r="HF109" s="146"/>
      <c r="HG109" s="146"/>
      <c r="HH109" s="146"/>
      <c r="HI109" s="146"/>
      <c r="HJ109" s="146"/>
      <c r="HK109" s="146"/>
      <c r="HL109" s="146"/>
      <c r="HM109" s="146"/>
      <c r="HN109" s="146"/>
      <c r="HO109" s="146"/>
      <c r="HP109" s="146"/>
      <c r="HQ109" s="146"/>
      <c r="HR109" s="146"/>
      <c r="HS109" s="146"/>
      <c r="HT109" s="146"/>
      <c r="HU109" s="146"/>
      <c r="HV109" s="146"/>
      <c r="HW109" s="146"/>
      <c r="HX109" s="146"/>
      <c r="HY109" s="146"/>
      <c r="HZ109" s="146"/>
      <c r="IA109" s="146"/>
    </row>
    <row r="110" spans="1:235" s="159" customFormat="1" ht="99.75" x14ac:dyDescent="0.25">
      <c r="A110" s="197">
        <v>11700</v>
      </c>
      <c r="B110" s="194" t="s">
        <v>29</v>
      </c>
      <c r="C110" s="198" t="s">
        <v>328</v>
      </c>
      <c r="D110" s="194" t="s">
        <v>256</v>
      </c>
      <c r="E110" s="198" t="s">
        <v>644</v>
      </c>
      <c r="F110" s="194" t="s">
        <v>652</v>
      </c>
      <c r="G110" s="209" t="s">
        <v>123</v>
      </c>
      <c r="H110" s="211">
        <v>1</v>
      </c>
      <c r="I110" s="198" t="s">
        <v>645</v>
      </c>
      <c r="J110" s="194" t="s">
        <v>653</v>
      </c>
      <c r="K110" s="210">
        <v>538238487.5</v>
      </c>
      <c r="L110" s="211">
        <v>1</v>
      </c>
      <c r="M110" s="194" t="s">
        <v>46</v>
      </c>
      <c r="N110" s="194" t="s">
        <v>59</v>
      </c>
      <c r="O110" s="194" t="s">
        <v>37</v>
      </c>
      <c r="P110" s="194" t="s">
        <v>40</v>
      </c>
      <c r="Q110" s="194" t="s">
        <v>220</v>
      </c>
      <c r="R110" s="194" t="s">
        <v>654</v>
      </c>
      <c r="S110" s="194" t="s">
        <v>101</v>
      </c>
      <c r="T110" s="244">
        <v>1</v>
      </c>
      <c r="U110" s="212" t="str">
        <f t="shared" si="43"/>
        <v>Garantizar la gestión de Servicio al ciudadano de la entidad  por los diferentes canales  de atención.</v>
      </c>
      <c r="V110" s="213">
        <f t="shared" si="43"/>
        <v>538238487.5</v>
      </c>
      <c r="W110" s="222" t="s">
        <v>114</v>
      </c>
      <c r="X110" s="281">
        <v>0.25</v>
      </c>
      <c r="Y110" s="282" t="s">
        <v>417</v>
      </c>
      <c r="Z110" s="283">
        <f>+X110*V110</f>
        <v>134559621.875</v>
      </c>
      <c r="AA110" s="279"/>
      <c r="AB110" s="279"/>
      <c r="AC110" s="280">
        <f t="shared" si="44"/>
        <v>0</v>
      </c>
      <c r="AD110" s="280">
        <f t="shared" si="45"/>
        <v>0</v>
      </c>
      <c r="AE110" s="280">
        <f t="shared" si="31"/>
        <v>0</v>
      </c>
      <c r="AF110" s="280">
        <f t="shared" si="32"/>
        <v>0</v>
      </c>
      <c r="AG110" s="281">
        <v>0.25</v>
      </c>
      <c r="AH110" s="282" t="s">
        <v>417</v>
      </c>
      <c r="AI110" s="283">
        <v>134559621.875</v>
      </c>
      <c r="AJ110" s="279"/>
      <c r="AK110" s="279"/>
      <c r="AL110" s="280">
        <f t="shared" si="46"/>
        <v>0</v>
      </c>
      <c r="AM110" s="280">
        <f t="shared" si="33"/>
        <v>0</v>
      </c>
      <c r="AN110" s="280">
        <f t="shared" si="34"/>
        <v>0</v>
      </c>
      <c r="AO110" s="280">
        <f t="shared" si="35"/>
        <v>0</v>
      </c>
      <c r="AP110" s="281">
        <v>0.25</v>
      </c>
      <c r="AQ110" s="282" t="s">
        <v>417</v>
      </c>
      <c r="AR110" s="283">
        <v>134559621.875</v>
      </c>
      <c r="AS110" s="279"/>
      <c r="AT110" s="279"/>
      <c r="AU110" s="280">
        <f t="shared" si="47"/>
        <v>0</v>
      </c>
      <c r="AV110" s="280">
        <f t="shared" si="48"/>
        <v>0</v>
      </c>
      <c r="AW110" s="280">
        <f t="shared" si="49"/>
        <v>0</v>
      </c>
      <c r="AX110" s="280">
        <f t="shared" si="50"/>
        <v>0</v>
      </c>
      <c r="AY110" s="281">
        <v>0.25</v>
      </c>
      <c r="AZ110" s="282" t="s">
        <v>417</v>
      </c>
      <c r="BA110" s="283">
        <v>134559621.875</v>
      </c>
      <c r="BB110" s="279"/>
      <c r="BC110" s="279"/>
      <c r="BD110" s="281">
        <f t="shared" si="51"/>
        <v>0</v>
      </c>
      <c r="BE110" s="281">
        <f t="shared" si="52"/>
        <v>0</v>
      </c>
      <c r="BF110" s="281">
        <f t="shared" si="53"/>
        <v>0</v>
      </c>
      <c r="BG110" s="281">
        <f t="shared" si="54"/>
        <v>0</v>
      </c>
      <c r="BH110" s="205">
        <f t="shared" si="36"/>
        <v>0</v>
      </c>
      <c r="BI110" s="205">
        <f t="shared" si="37"/>
        <v>0</v>
      </c>
      <c r="BJ110" s="205">
        <f t="shared" si="38"/>
        <v>0</v>
      </c>
      <c r="BK110" s="205">
        <f t="shared" si="39"/>
        <v>0</v>
      </c>
      <c r="BL110" s="205">
        <f t="shared" si="55"/>
        <v>0</v>
      </c>
      <c r="BM110" s="205">
        <f t="shared" si="56"/>
        <v>0</v>
      </c>
      <c r="BN110" s="205">
        <f t="shared" si="40"/>
        <v>0</v>
      </c>
      <c r="BO110" s="205">
        <f t="shared" si="41"/>
        <v>0</v>
      </c>
      <c r="BP110" s="206"/>
      <c r="BQ110" s="277">
        <v>11</v>
      </c>
      <c r="BR110" s="208">
        <f t="shared" si="42"/>
        <v>0.58333333333333337</v>
      </c>
      <c r="BS110" s="219" t="str">
        <f t="shared" si="57"/>
        <v>Garantizar la gestión de Servicio al ciudadano de la entidad  por los diferentes canales  de atención.</v>
      </c>
      <c r="BT110" s="195">
        <f t="shared" si="30"/>
        <v>313972451.04166669</v>
      </c>
      <c r="BU110" s="196"/>
      <c r="BV110" s="196"/>
      <c r="BW110" s="196"/>
      <c r="BX110" s="196"/>
      <c r="BY110" s="196"/>
      <c r="BZ110" s="19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c r="GU110" s="146"/>
      <c r="GV110" s="146"/>
      <c r="GW110" s="146"/>
      <c r="GX110" s="146"/>
      <c r="GY110" s="146"/>
      <c r="GZ110" s="146"/>
      <c r="HA110" s="146"/>
      <c r="HB110" s="146"/>
      <c r="HC110" s="146"/>
      <c r="HD110" s="146"/>
      <c r="HE110" s="146"/>
      <c r="HF110" s="146"/>
      <c r="HG110" s="146"/>
      <c r="HH110" s="146"/>
      <c r="HI110" s="146"/>
      <c r="HJ110" s="146"/>
      <c r="HK110" s="146"/>
      <c r="HL110" s="146"/>
      <c r="HM110" s="146"/>
      <c r="HN110" s="146"/>
      <c r="HO110" s="146"/>
      <c r="HP110" s="146"/>
      <c r="HQ110" s="146"/>
      <c r="HR110" s="146"/>
      <c r="HS110" s="146"/>
      <c r="HT110" s="146"/>
      <c r="HU110" s="146"/>
      <c r="HV110" s="146"/>
      <c r="HW110" s="146"/>
      <c r="HX110" s="146"/>
      <c r="HY110" s="146"/>
      <c r="HZ110" s="146"/>
      <c r="IA110" s="146"/>
    </row>
    <row r="111" spans="1:235" s="154" customFormat="1" ht="171" x14ac:dyDescent="0.25">
      <c r="A111" s="197">
        <v>11700</v>
      </c>
      <c r="B111" s="194" t="s">
        <v>29</v>
      </c>
      <c r="C111" s="198" t="s">
        <v>328</v>
      </c>
      <c r="D111" s="194" t="s">
        <v>256</v>
      </c>
      <c r="E111" s="198" t="s">
        <v>650</v>
      </c>
      <c r="F111" s="194" t="s">
        <v>655</v>
      </c>
      <c r="G111" s="209" t="s">
        <v>123</v>
      </c>
      <c r="H111" s="211">
        <v>1</v>
      </c>
      <c r="I111" s="198" t="s">
        <v>651</v>
      </c>
      <c r="J111" s="194" t="s">
        <v>656</v>
      </c>
      <c r="K111" s="210">
        <v>48960000</v>
      </c>
      <c r="L111" s="211">
        <v>1</v>
      </c>
      <c r="M111" s="194" t="s">
        <v>46</v>
      </c>
      <c r="N111" s="194" t="s">
        <v>59</v>
      </c>
      <c r="O111" s="194" t="s">
        <v>37</v>
      </c>
      <c r="P111" s="194" t="s">
        <v>40</v>
      </c>
      <c r="Q111" s="194" t="s">
        <v>220</v>
      </c>
      <c r="R111" s="201" t="s">
        <v>826</v>
      </c>
      <c r="S111" s="194" t="s">
        <v>101</v>
      </c>
      <c r="T111" s="244">
        <v>1</v>
      </c>
      <c r="U111" s="212" t="str">
        <f t="shared" si="43"/>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V111" s="213">
        <f t="shared" si="43"/>
        <v>48960000</v>
      </c>
      <c r="W111" s="222" t="s">
        <v>114</v>
      </c>
      <c r="X111" s="216">
        <v>0.25</v>
      </c>
      <c r="Y111" s="214" t="s">
        <v>656</v>
      </c>
      <c r="Z111" s="210">
        <v>12240000</v>
      </c>
      <c r="AA111" s="196"/>
      <c r="AB111" s="196"/>
      <c r="AC111" s="204">
        <f t="shared" si="44"/>
        <v>0</v>
      </c>
      <c r="AD111" s="204">
        <f t="shared" si="45"/>
        <v>0</v>
      </c>
      <c r="AE111" s="204">
        <f t="shared" si="31"/>
        <v>0</v>
      </c>
      <c r="AF111" s="204">
        <f t="shared" si="32"/>
        <v>0</v>
      </c>
      <c r="AG111" s="216">
        <v>0.25</v>
      </c>
      <c r="AH111" s="214" t="s">
        <v>656</v>
      </c>
      <c r="AI111" s="210">
        <v>12240000</v>
      </c>
      <c r="AJ111" s="196"/>
      <c r="AK111" s="196"/>
      <c r="AL111" s="204">
        <f t="shared" si="46"/>
        <v>0</v>
      </c>
      <c r="AM111" s="204">
        <f t="shared" si="33"/>
        <v>0</v>
      </c>
      <c r="AN111" s="204">
        <f t="shared" si="34"/>
        <v>0</v>
      </c>
      <c r="AO111" s="204">
        <f t="shared" si="35"/>
        <v>0</v>
      </c>
      <c r="AP111" s="216">
        <v>0.25</v>
      </c>
      <c r="AQ111" s="214" t="s">
        <v>656</v>
      </c>
      <c r="AR111" s="210">
        <v>12240000</v>
      </c>
      <c r="AS111" s="196"/>
      <c r="AT111" s="196"/>
      <c r="AU111" s="204">
        <f t="shared" si="47"/>
        <v>0</v>
      </c>
      <c r="AV111" s="204">
        <f t="shared" si="48"/>
        <v>0</v>
      </c>
      <c r="AW111" s="204">
        <f t="shared" si="49"/>
        <v>0</v>
      </c>
      <c r="AX111" s="204">
        <f t="shared" si="50"/>
        <v>0</v>
      </c>
      <c r="AY111" s="216">
        <v>0.25</v>
      </c>
      <c r="AZ111" s="214" t="s">
        <v>656</v>
      </c>
      <c r="BA111" s="210">
        <v>12240000</v>
      </c>
      <c r="BB111" s="196"/>
      <c r="BC111" s="196"/>
      <c r="BD111" s="216">
        <f t="shared" si="51"/>
        <v>0</v>
      </c>
      <c r="BE111" s="216">
        <f t="shared" si="52"/>
        <v>0</v>
      </c>
      <c r="BF111" s="216">
        <f t="shared" si="53"/>
        <v>0</v>
      </c>
      <c r="BG111" s="216">
        <f t="shared" si="54"/>
        <v>0</v>
      </c>
      <c r="BH111" s="207">
        <f t="shared" si="36"/>
        <v>0</v>
      </c>
      <c r="BI111" s="207">
        <f t="shared" si="37"/>
        <v>0</v>
      </c>
      <c r="BJ111" s="207">
        <f t="shared" si="38"/>
        <v>0</v>
      </c>
      <c r="BK111" s="207">
        <f t="shared" si="39"/>
        <v>0</v>
      </c>
      <c r="BL111" s="207">
        <f t="shared" si="55"/>
        <v>0</v>
      </c>
      <c r="BM111" s="207">
        <f t="shared" si="56"/>
        <v>0</v>
      </c>
      <c r="BN111" s="207">
        <f t="shared" si="40"/>
        <v>0</v>
      </c>
      <c r="BO111" s="207">
        <f t="shared" si="41"/>
        <v>0</v>
      </c>
      <c r="BP111" s="206"/>
      <c r="BQ111" s="277">
        <v>11</v>
      </c>
      <c r="BR111" s="208">
        <f t="shared" si="42"/>
        <v>0.58333333333333337</v>
      </c>
      <c r="BS111" s="219" t="str">
        <f t="shared" si="57"/>
        <v>Apoyar técnicamente las actividades destinadas a prestar una atención elocuente y cordial a los usuarios de los trámites y servicios que brinda la Administradora de los Recursos del Sistema General de Seguridad Social en Salud - ADRES, resolviendo de forma oportuna las dudas y requerimientos presentados sobre los procesos y procedimientos desarrollados al interior de la entidad</v>
      </c>
      <c r="BT111" s="195">
        <f t="shared" si="30"/>
        <v>28560000</v>
      </c>
      <c r="BU111" s="196"/>
      <c r="BV111" s="196"/>
      <c r="BW111" s="196"/>
      <c r="BX111" s="196"/>
      <c r="BY111" s="196"/>
      <c r="BZ111" s="19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c r="EO111" s="146"/>
      <c r="EP111" s="146"/>
      <c r="EQ111" s="146"/>
      <c r="ER111" s="146"/>
      <c r="ES111" s="146"/>
      <c r="ET111" s="146"/>
      <c r="EU111" s="14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c r="GU111" s="146"/>
      <c r="GV111" s="146"/>
      <c r="GW111" s="146"/>
      <c r="GX111" s="146"/>
      <c r="GY111" s="146"/>
      <c r="GZ111" s="146"/>
      <c r="HA111" s="146"/>
      <c r="HB111" s="146"/>
      <c r="HC111" s="146"/>
      <c r="HD111" s="146"/>
      <c r="HE111" s="146"/>
      <c r="HF111" s="146"/>
      <c r="HG111" s="146"/>
      <c r="HH111" s="146"/>
      <c r="HI111" s="146"/>
      <c r="HJ111" s="146"/>
      <c r="HK111" s="146"/>
      <c r="HL111" s="146"/>
      <c r="HM111" s="146"/>
      <c r="HN111" s="146"/>
      <c r="HO111" s="146"/>
      <c r="HP111" s="146"/>
      <c r="HQ111" s="146"/>
      <c r="HR111" s="146"/>
      <c r="HS111" s="146"/>
      <c r="HT111" s="146"/>
      <c r="HU111" s="146"/>
      <c r="HV111" s="146"/>
      <c r="HW111" s="146"/>
      <c r="HX111" s="146"/>
      <c r="HY111" s="146"/>
      <c r="HZ111" s="146"/>
      <c r="IA111" s="146"/>
    </row>
    <row r="112" spans="1:235" s="156" customFormat="1" ht="99.75" x14ac:dyDescent="0.25">
      <c r="A112" s="197">
        <v>11700</v>
      </c>
      <c r="B112" s="194" t="s">
        <v>29</v>
      </c>
      <c r="C112" s="198" t="s">
        <v>328</v>
      </c>
      <c r="D112" s="194" t="s">
        <v>256</v>
      </c>
      <c r="E112" s="245" t="s">
        <v>822</v>
      </c>
      <c r="F112" s="194" t="s">
        <v>646</v>
      </c>
      <c r="G112" s="209" t="s">
        <v>123</v>
      </c>
      <c r="H112" s="216">
        <v>1</v>
      </c>
      <c r="I112" s="198" t="s">
        <v>716</v>
      </c>
      <c r="J112" s="194" t="s">
        <v>762</v>
      </c>
      <c r="K112" s="210">
        <v>2423788854</v>
      </c>
      <c r="L112" s="211">
        <v>1</v>
      </c>
      <c r="M112" s="194" t="s">
        <v>46</v>
      </c>
      <c r="N112" s="194" t="s">
        <v>59</v>
      </c>
      <c r="O112" s="194" t="s">
        <v>37</v>
      </c>
      <c r="P112" s="194" t="s">
        <v>40</v>
      </c>
      <c r="Q112" s="194" t="s">
        <v>221</v>
      </c>
      <c r="R112" s="194" t="s">
        <v>648</v>
      </c>
      <c r="S112" s="194" t="s">
        <v>99</v>
      </c>
      <c r="T112" s="244">
        <v>1</v>
      </c>
      <c r="U112" s="212" t="str">
        <f t="shared" si="43"/>
        <v xml:space="preserve">Prestar los servicios especializados en gestión documental de administración, custodia, conservación, consulta, préstamo en soporte físico y magnético </v>
      </c>
      <c r="V112" s="213">
        <f t="shared" si="43"/>
        <v>2423788854</v>
      </c>
      <c r="W112" s="222" t="s">
        <v>114</v>
      </c>
      <c r="X112" s="216">
        <v>0.25</v>
      </c>
      <c r="Y112" s="214" t="s">
        <v>649</v>
      </c>
      <c r="Z112" s="210">
        <v>513255963</v>
      </c>
      <c r="AA112" s="196"/>
      <c r="AB112" s="196"/>
      <c r="AC112" s="204">
        <f t="shared" si="44"/>
        <v>0</v>
      </c>
      <c r="AD112" s="204">
        <f t="shared" si="45"/>
        <v>0</v>
      </c>
      <c r="AE112" s="204">
        <f t="shared" si="31"/>
        <v>0</v>
      </c>
      <c r="AF112" s="204">
        <f t="shared" si="32"/>
        <v>0</v>
      </c>
      <c r="AG112" s="216">
        <v>0.25</v>
      </c>
      <c r="AH112" s="214" t="s">
        <v>649</v>
      </c>
      <c r="AI112" s="210">
        <v>884020965</v>
      </c>
      <c r="AJ112" s="196"/>
      <c r="AK112" s="196"/>
      <c r="AL112" s="204">
        <f t="shared" si="46"/>
        <v>0</v>
      </c>
      <c r="AM112" s="204">
        <f t="shared" si="33"/>
        <v>0</v>
      </c>
      <c r="AN112" s="204">
        <f t="shared" si="34"/>
        <v>0</v>
      </c>
      <c r="AO112" s="204">
        <f t="shared" si="35"/>
        <v>0</v>
      </c>
      <c r="AP112" s="216">
        <v>0.25</v>
      </c>
      <c r="AQ112" s="214" t="s">
        <v>649</v>
      </c>
      <c r="AR112" s="210">
        <v>513255963</v>
      </c>
      <c r="AS112" s="196"/>
      <c r="AT112" s="196"/>
      <c r="AU112" s="204">
        <f t="shared" si="47"/>
        <v>0</v>
      </c>
      <c r="AV112" s="204">
        <f t="shared" si="48"/>
        <v>0</v>
      </c>
      <c r="AW112" s="204">
        <f t="shared" si="49"/>
        <v>0</v>
      </c>
      <c r="AX112" s="204">
        <f t="shared" si="50"/>
        <v>0</v>
      </c>
      <c r="AY112" s="216">
        <v>0.25</v>
      </c>
      <c r="AZ112" s="214" t="s">
        <v>649</v>
      </c>
      <c r="BA112" s="210">
        <v>513255963</v>
      </c>
      <c r="BB112" s="196"/>
      <c r="BC112" s="196"/>
      <c r="BD112" s="216">
        <f t="shared" si="51"/>
        <v>0</v>
      </c>
      <c r="BE112" s="216">
        <f t="shared" si="52"/>
        <v>0</v>
      </c>
      <c r="BF112" s="216">
        <f t="shared" si="53"/>
        <v>0</v>
      </c>
      <c r="BG112" s="216">
        <f t="shared" si="54"/>
        <v>0</v>
      </c>
      <c r="BH112" s="223">
        <f t="shared" si="36"/>
        <v>0</v>
      </c>
      <c r="BI112" s="223">
        <f t="shared" si="37"/>
        <v>0</v>
      </c>
      <c r="BJ112" s="223">
        <f t="shared" si="38"/>
        <v>0</v>
      </c>
      <c r="BK112" s="223">
        <f t="shared" si="39"/>
        <v>0</v>
      </c>
      <c r="BL112" s="223">
        <f t="shared" si="55"/>
        <v>0</v>
      </c>
      <c r="BM112" s="223">
        <f t="shared" si="56"/>
        <v>0</v>
      </c>
      <c r="BN112" s="223">
        <f t="shared" si="40"/>
        <v>0</v>
      </c>
      <c r="BO112" s="223">
        <f t="shared" si="41"/>
        <v>0</v>
      </c>
      <c r="BP112" s="206"/>
      <c r="BQ112" s="277">
        <v>12</v>
      </c>
      <c r="BR112" s="208">
        <f t="shared" si="42"/>
        <v>0.58333333333333337</v>
      </c>
      <c r="BS112" s="219" t="str">
        <f t="shared" si="57"/>
        <v xml:space="preserve">Prestar los servicios especializados en gestión documental de administración, custodia, conservación, consulta, préstamo en soporte físico y magnético </v>
      </c>
      <c r="BT112" s="195">
        <f t="shared" si="30"/>
        <v>1568362249</v>
      </c>
      <c r="BU112" s="196"/>
      <c r="BV112" s="196"/>
      <c r="BW112" s="196"/>
      <c r="BX112" s="196"/>
      <c r="BY112" s="196"/>
      <c r="BZ112" s="19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46"/>
      <c r="EA112" s="146"/>
      <c r="EB112" s="146"/>
      <c r="EC112" s="146"/>
      <c r="ED112" s="146"/>
      <c r="EE112" s="146"/>
      <c r="EF112" s="146"/>
      <c r="EG112" s="146"/>
      <c r="EH112" s="146"/>
      <c r="EI112" s="146"/>
      <c r="EJ112" s="146"/>
      <c r="EK112" s="146"/>
      <c r="EL112" s="146"/>
      <c r="EM112" s="146"/>
      <c r="EN112" s="146"/>
      <c r="EO112" s="146"/>
      <c r="EP112" s="146"/>
      <c r="EQ112" s="146"/>
      <c r="ER112" s="146"/>
      <c r="ES112" s="146"/>
      <c r="ET112" s="146"/>
      <c r="EU112" s="146"/>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c r="GU112" s="146"/>
      <c r="GV112" s="146"/>
      <c r="GW112" s="146"/>
      <c r="GX112" s="146"/>
      <c r="GY112" s="146"/>
      <c r="GZ112" s="146"/>
      <c r="HA112" s="146"/>
      <c r="HB112" s="146"/>
      <c r="HC112" s="146"/>
      <c r="HD112" s="146"/>
      <c r="HE112" s="146"/>
      <c r="HF112" s="146"/>
      <c r="HG112" s="146"/>
      <c r="HH112" s="146"/>
      <c r="HI112" s="146"/>
      <c r="HJ112" s="146"/>
      <c r="HK112" s="146"/>
      <c r="HL112" s="146"/>
      <c r="HM112" s="146"/>
      <c r="HN112" s="146"/>
      <c r="HO112" s="146"/>
      <c r="HP112" s="146"/>
      <c r="HQ112" s="146"/>
      <c r="HR112" s="146"/>
      <c r="HS112" s="146"/>
      <c r="HT112" s="146"/>
      <c r="HU112" s="146"/>
      <c r="HV112" s="146"/>
      <c r="HW112" s="146"/>
      <c r="HX112" s="146"/>
      <c r="HY112" s="146"/>
      <c r="HZ112" s="146"/>
      <c r="IA112" s="146"/>
    </row>
    <row r="113" spans="1:235" s="153" customFormat="1" ht="57" x14ac:dyDescent="0.25">
      <c r="A113" s="197">
        <v>11800</v>
      </c>
      <c r="B113" s="194" t="s">
        <v>5</v>
      </c>
      <c r="C113" s="198" t="s">
        <v>319</v>
      </c>
      <c r="D113" s="194" t="s">
        <v>153</v>
      </c>
      <c r="E113" s="198" t="s">
        <v>320</v>
      </c>
      <c r="F113" s="194" t="s">
        <v>133</v>
      </c>
      <c r="G113" s="209" t="s">
        <v>124</v>
      </c>
      <c r="H113" s="198">
        <v>4</v>
      </c>
      <c r="I113" s="198" t="s">
        <v>321</v>
      </c>
      <c r="J113" s="194" t="s">
        <v>24</v>
      </c>
      <c r="K113" s="210">
        <v>0</v>
      </c>
      <c r="L113" s="211">
        <v>1</v>
      </c>
      <c r="M113" s="194" t="s">
        <v>51</v>
      </c>
      <c r="N113" s="194" t="s">
        <v>68</v>
      </c>
      <c r="O113" s="194" t="s">
        <v>21</v>
      </c>
      <c r="P113" s="194" t="s">
        <v>36</v>
      </c>
      <c r="Q113" s="194" t="s">
        <v>75</v>
      </c>
      <c r="R113" s="194" t="s">
        <v>631</v>
      </c>
      <c r="S113" s="194" t="s">
        <v>98</v>
      </c>
      <c r="T113" s="221">
        <v>4</v>
      </c>
      <c r="U113" s="212" t="str">
        <f t="shared" si="43"/>
        <v>Reportar el cumplimiento del Plan de Acción de la Dependencia</v>
      </c>
      <c r="V113" s="213">
        <f t="shared" si="43"/>
        <v>0</v>
      </c>
      <c r="W113" s="214" t="s">
        <v>117</v>
      </c>
      <c r="X113" s="215">
        <v>1</v>
      </c>
      <c r="Y113" s="214" t="s">
        <v>24</v>
      </c>
      <c r="Z113" s="210">
        <v>0</v>
      </c>
      <c r="AA113" s="196"/>
      <c r="AB113" s="196"/>
      <c r="AC113" s="204">
        <f t="shared" si="44"/>
        <v>0</v>
      </c>
      <c r="AD113" s="204" t="e">
        <f t="shared" si="45"/>
        <v>#DIV/0!</v>
      </c>
      <c r="AE113" s="204">
        <f t="shared" si="31"/>
        <v>0</v>
      </c>
      <c r="AF113" s="204" t="e">
        <f t="shared" si="32"/>
        <v>#DIV/0!</v>
      </c>
      <c r="AG113" s="215">
        <v>1</v>
      </c>
      <c r="AH113" s="214" t="s">
        <v>24</v>
      </c>
      <c r="AI113" s="210">
        <v>0</v>
      </c>
      <c r="AJ113" s="196"/>
      <c r="AK113" s="196"/>
      <c r="AL113" s="204">
        <f t="shared" si="46"/>
        <v>0</v>
      </c>
      <c r="AM113" s="204" t="e">
        <f t="shared" si="33"/>
        <v>#DIV/0!</v>
      </c>
      <c r="AN113" s="204">
        <f t="shared" si="34"/>
        <v>0</v>
      </c>
      <c r="AO113" s="204" t="e">
        <f t="shared" si="35"/>
        <v>#DIV/0!</v>
      </c>
      <c r="AP113" s="215">
        <v>1</v>
      </c>
      <c r="AQ113" s="214" t="s">
        <v>24</v>
      </c>
      <c r="AR113" s="210">
        <v>0</v>
      </c>
      <c r="AS113" s="196"/>
      <c r="AT113" s="196"/>
      <c r="AU113" s="204">
        <f t="shared" si="47"/>
        <v>0</v>
      </c>
      <c r="AV113" s="204" t="e">
        <f t="shared" si="48"/>
        <v>#DIV/0!</v>
      </c>
      <c r="AW113" s="204">
        <f t="shared" si="49"/>
        <v>0</v>
      </c>
      <c r="AX113" s="204" t="e">
        <f t="shared" si="50"/>
        <v>#DIV/0!</v>
      </c>
      <c r="AY113" s="215">
        <v>1</v>
      </c>
      <c r="AZ113" s="214" t="s">
        <v>24</v>
      </c>
      <c r="BA113" s="210">
        <v>0</v>
      </c>
      <c r="BB113" s="196"/>
      <c r="BC113" s="196"/>
      <c r="BD113" s="216">
        <f t="shared" si="51"/>
        <v>0</v>
      </c>
      <c r="BE113" s="216" t="e">
        <f t="shared" si="52"/>
        <v>#DIV/0!</v>
      </c>
      <c r="BF113" s="216">
        <f t="shared" si="53"/>
        <v>0</v>
      </c>
      <c r="BG113" s="216" t="e">
        <f t="shared" si="54"/>
        <v>#DIV/0!</v>
      </c>
      <c r="BH113" s="217">
        <f t="shared" si="36"/>
        <v>0</v>
      </c>
      <c r="BI113" s="217" t="str">
        <f t="shared" si="37"/>
        <v>No Prog ni Ejec</v>
      </c>
      <c r="BJ113" s="217">
        <f t="shared" si="38"/>
        <v>0</v>
      </c>
      <c r="BK113" s="217" t="str">
        <f t="shared" si="39"/>
        <v>No Prog ni Ejec</v>
      </c>
      <c r="BL113" s="217">
        <f t="shared" si="55"/>
        <v>0</v>
      </c>
      <c r="BM113" s="217" t="str">
        <f t="shared" si="56"/>
        <v>No Prog ni Ejec</v>
      </c>
      <c r="BN113" s="217">
        <f t="shared" si="40"/>
        <v>0</v>
      </c>
      <c r="BO113" s="217" t="str">
        <f t="shared" si="41"/>
        <v>No Prog ni Ejec</v>
      </c>
      <c r="BP113" s="206"/>
      <c r="BQ113" s="277">
        <v>5</v>
      </c>
      <c r="BR113" s="218">
        <f t="shared" si="42"/>
        <v>2.3333333333333335</v>
      </c>
      <c r="BS113" s="219" t="str">
        <f t="shared" si="57"/>
        <v>Reportar el cumplimiento del Plan de Acción de la Dependencia</v>
      </c>
      <c r="BT113" s="195">
        <f t="shared" si="30"/>
        <v>0</v>
      </c>
      <c r="BU113" s="196"/>
      <c r="BV113" s="196"/>
      <c r="BW113" s="196"/>
      <c r="BX113" s="196"/>
      <c r="BY113" s="196"/>
      <c r="BZ113" s="19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c r="DK113" s="146"/>
      <c r="DL113" s="146"/>
      <c r="DM113" s="146"/>
      <c r="DN113" s="146"/>
      <c r="DO113" s="146"/>
      <c r="DP113" s="146"/>
      <c r="DQ113" s="146"/>
      <c r="DR113" s="146"/>
      <c r="DS113" s="146"/>
      <c r="DT113" s="146"/>
      <c r="DU113" s="146"/>
      <c r="DV113" s="146"/>
      <c r="DW113" s="146"/>
      <c r="DX113" s="146"/>
      <c r="DY113" s="146"/>
      <c r="DZ113" s="146"/>
      <c r="EA113" s="146"/>
      <c r="EB113" s="146"/>
      <c r="EC113" s="146"/>
      <c r="ED113" s="146"/>
      <c r="EE113" s="146"/>
      <c r="EF113" s="146"/>
      <c r="EG113" s="146"/>
      <c r="EH113" s="146"/>
      <c r="EI113" s="146"/>
      <c r="EJ113" s="146"/>
      <c r="EK113" s="146"/>
      <c r="EL113" s="146"/>
      <c r="EM113" s="146"/>
      <c r="EN113" s="146"/>
      <c r="EO113" s="146"/>
      <c r="EP113" s="146"/>
      <c r="EQ113" s="146"/>
      <c r="ER113" s="146"/>
      <c r="ES113" s="146"/>
      <c r="ET113" s="146"/>
      <c r="EU113" s="146"/>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c r="GU113" s="146"/>
      <c r="GV113" s="146"/>
      <c r="GW113" s="146"/>
      <c r="GX113" s="146"/>
      <c r="GY113" s="146"/>
      <c r="GZ113" s="146"/>
      <c r="HA113" s="146"/>
      <c r="HB113" s="146"/>
      <c r="HC113" s="146"/>
      <c r="HD113" s="146"/>
      <c r="HE113" s="146"/>
      <c r="HF113" s="146"/>
      <c r="HG113" s="146"/>
      <c r="HH113" s="146"/>
      <c r="HI113" s="146"/>
      <c r="HJ113" s="146"/>
      <c r="HK113" s="146"/>
      <c r="HL113" s="146"/>
      <c r="HM113" s="146"/>
      <c r="HN113" s="146"/>
      <c r="HO113" s="146"/>
      <c r="HP113" s="146"/>
      <c r="HQ113" s="146"/>
      <c r="HR113" s="146"/>
      <c r="HS113" s="146"/>
      <c r="HT113" s="146"/>
      <c r="HU113" s="146"/>
      <c r="HV113" s="146"/>
      <c r="HW113" s="146"/>
      <c r="HX113" s="146"/>
      <c r="HY113" s="146"/>
      <c r="HZ113" s="146"/>
      <c r="IA113" s="146"/>
    </row>
    <row r="114" spans="1:235" s="153" customFormat="1" ht="99.75" x14ac:dyDescent="0.25">
      <c r="A114" s="197">
        <v>11800</v>
      </c>
      <c r="B114" s="194" t="s">
        <v>5</v>
      </c>
      <c r="C114" s="198" t="s">
        <v>322</v>
      </c>
      <c r="D114" s="194" t="s">
        <v>256</v>
      </c>
      <c r="E114" s="198" t="s">
        <v>323</v>
      </c>
      <c r="F114" s="194" t="s">
        <v>159</v>
      </c>
      <c r="G114" s="209" t="s">
        <v>123</v>
      </c>
      <c r="H114" s="216">
        <v>1</v>
      </c>
      <c r="I114" s="198" t="s">
        <v>326</v>
      </c>
      <c r="J114" s="194" t="s">
        <v>677</v>
      </c>
      <c r="K114" s="210">
        <v>0</v>
      </c>
      <c r="L114" s="211">
        <v>1</v>
      </c>
      <c r="M114" s="194" t="s">
        <v>51</v>
      </c>
      <c r="N114" s="194" t="s">
        <v>68</v>
      </c>
      <c r="O114" s="194" t="s">
        <v>21</v>
      </c>
      <c r="P114" s="194" t="s">
        <v>36</v>
      </c>
      <c r="Q114" s="194" t="s">
        <v>75</v>
      </c>
      <c r="R114" s="194" t="s">
        <v>672</v>
      </c>
      <c r="S114" s="194" t="s">
        <v>98</v>
      </c>
      <c r="T114" s="211">
        <v>1</v>
      </c>
      <c r="U114" s="212" t="str">
        <f t="shared" si="43"/>
        <v xml:space="preserve">Formular los proceso y procedimientos en el marco del MIPG
</v>
      </c>
      <c r="V114" s="213">
        <f t="shared" si="43"/>
        <v>0</v>
      </c>
      <c r="W114" s="214" t="s">
        <v>117</v>
      </c>
      <c r="X114" s="216">
        <v>0.25</v>
      </c>
      <c r="Y114" s="214" t="s">
        <v>677</v>
      </c>
      <c r="Z114" s="210">
        <v>0</v>
      </c>
      <c r="AA114" s="196"/>
      <c r="AB114" s="196"/>
      <c r="AC114" s="204">
        <f t="shared" si="44"/>
        <v>0</v>
      </c>
      <c r="AD114" s="204" t="e">
        <f t="shared" si="45"/>
        <v>#DIV/0!</v>
      </c>
      <c r="AE114" s="204">
        <f t="shared" si="31"/>
        <v>0</v>
      </c>
      <c r="AF114" s="204" t="e">
        <f t="shared" si="32"/>
        <v>#DIV/0!</v>
      </c>
      <c r="AG114" s="216">
        <v>0.25</v>
      </c>
      <c r="AH114" s="214" t="s">
        <v>677</v>
      </c>
      <c r="AI114" s="210">
        <v>0</v>
      </c>
      <c r="AJ114" s="196"/>
      <c r="AK114" s="196"/>
      <c r="AL114" s="204">
        <f t="shared" si="46"/>
        <v>0</v>
      </c>
      <c r="AM114" s="204" t="e">
        <f t="shared" si="33"/>
        <v>#DIV/0!</v>
      </c>
      <c r="AN114" s="204">
        <f t="shared" si="34"/>
        <v>0</v>
      </c>
      <c r="AO114" s="204" t="e">
        <f t="shared" si="35"/>
        <v>#DIV/0!</v>
      </c>
      <c r="AP114" s="216">
        <v>0.25</v>
      </c>
      <c r="AQ114" s="214" t="s">
        <v>677</v>
      </c>
      <c r="AR114" s="210">
        <v>0</v>
      </c>
      <c r="AS114" s="196"/>
      <c r="AT114" s="196"/>
      <c r="AU114" s="204">
        <f t="shared" si="47"/>
        <v>0</v>
      </c>
      <c r="AV114" s="204" t="e">
        <f t="shared" si="48"/>
        <v>#DIV/0!</v>
      </c>
      <c r="AW114" s="204">
        <f t="shared" si="49"/>
        <v>0</v>
      </c>
      <c r="AX114" s="204" t="e">
        <f t="shared" si="50"/>
        <v>#DIV/0!</v>
      </c>
      <c r="AY114" s="216">
        <v>0.25</v>
      </c>
      <c r="AZ114" s="214" t="s">
        <v>677</v>
      </c>
      <c r="BA114" s="210">
        <v>0</v>
      </c>
      <c r="BB114" s="196"/>
      <c r="BC114" s="196"/>
      <c r="BD114" s="216">
        <f t="shared" si="51"/>
        <v>0</v>
      </c>
      <c r="BE114" s="216" t="e">
        <f t="shared" si="52"/>
        <v>#DIV/0!</v>
      </c>
      <c r="BF114" s="216">
        <f t="shared" si="53"/>
        <v>0</v>
      </c>
      <c r="BG114" s="216" t="e">
        <f t="shared" si="54"/>
        <v>#DIV/0!</v>
      </c>
      <c r="BH114" s="217">
        <f t="shared" si="36"/>
        <v>0</v>
      </c>
      <c r="BI114" s="217" t="str">
        <f t="shared" si="37"/>
        <v>No Prog ni Ejec</v>
      </c>
      <c r="BJ114" s="217">
        <f t="shared" si="38"/>
        <v>0</v>
      </c>
      <c r="BK114" s="217" t="str">
        <f t="shared" si="39"/>
        <v>No Prog ni Ejec</v>
      </c>
      <c r="BL114" s="217">
        <f t="shared" si="55"/>
        <v>0</v>
      </c>
      <c r="BM114" s="217" t="str">
        <f t="shared" si="56"/>
        <v>No Prog ni Ejec</v>
      </c>
      <c r="BN114" s="217">
        <f t="shared" si="40"/>
        <v>0</v>
      </c>
      <c r="BO114" s="217" t="str">
        <f t="shared" si="41"/>
        <v>No Prog ni Ejec</v>
      </c>
      <c r="BP114" s="206"/>
      <c r="BQ114" s="277">
        <v>5</v>
      </c>
      <c r="BR114" s="208">
        <f t="shared" si="42"/>
        <v>0.58333333333333337</v>
      </c>
      <c r="BS114" s="219" t="str">
        <f t="shared" si="57"/>
        <v xml:space="preserve">Formular los proceso y procedimientos en el marco del MIPG
</v>
      </c>
      <c r="BT114" s="195">
        <f t="shared" si="30"/>
        <v>0</v>
      </c>
      <c r="BU114" s="196"/>
      <c r="BV114" s="196"/>
      <c r="BW114" s="196"/>
      <c r="BX114" s="196"/>
      <c r="BY114" s="196"/>
      <c r="BZ114" s="19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146"/>
      <c r="DT114" s="146"/>
      <c r="DU114" s="146"/>
      <c r="DV114" s="146"/>
      <c r="DW114" s="146"/>
      <c r="DX114" s="146"/>
      <c r="DY114" s="146"/>
      <c r="DZ114" s="146"/>
      <c r="EA114" s="146"/>
      <c r="EB114" s="146"/>
      <c r="EC114" s="146"/>
      <c r="ED114" s="146"/>
      <c r="EE114" s="146"/>
      <c r="EF114" s="146"/>
      <c r="EG114" s="146"/>
      <c r="EH114" s="146"/>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c r="GU114" s="146"/>
      <c r="GV114" s="146"/>
      <c r="GW114" s="146"/>
      <c r="GX114" s="146"/>
      <c r="GY114" s="146"/>
      <c r="GZ114" s="146"/>
      <c r="HA114" s="146"/>
      <c r="HB114" s="146"/>
      <c r="HC114" s="146"/>
      <c r="HD114" s="146"/>
      <c r="HE114" s="146"/>
      <c r="HF114" s="146"/>
      <c r="HG114" s="146"/>
      <c r="HH114" s="146"/>
      <c r="HI114" s="146"/>
      <c r="HJ114" s="146"/>
      <c r="HK114" s="146"/>
      <c r="HL114" s="146"/>
      <c r="HM114" s="146"/>
      <c r="HN114" s="146"/>
      <c r="HO114" s="146"/>
      <c r="HP114" s="146"/>
      <c r="HQ114" s="146"/>
      <c r="HR114" s="146"/>
      <c r="HS114" s="146"/>
      <c r="HT114" s="146"/>
      <c r="HU114" s="146"/>
      <c r="HV114" s="146"/>
      <c r="HW114" s="146"/>
      <c r="HX114" s="146"/>
      <c r="HY114" s="146"/>
      <c r="HZ114" s="146"/>
      <c r="IA114" s="146"/>
    </row>
    <row r="115" spans="1:235" s="153" customFormat="1" ht="99.75" x14ac:dyDescent="0.25">
      <c r="A115" s="197">
        <v>11800</v>
      </c>
      <c r="B115" s="194" t="s">
        <v>5</v>
      </c>
      <c r="C115" s="198" t="s">
        <v>322</v>
      </c>
      <c r="D115" s="194" t="s">
        <v>256</v>
      </c>
      <c r="E115" s="198" t="s">
        <v>325</v>
      </c>
      <c r="F115" s="194" t="s">
        <v>127</v>
      </c>
      <c r="G115" s="209" t="s">
        <v>123</v>
      </c>
      <c r="H115" s="211">
        <v>1</v>
      </c>
      <c r="I115" s="198" t="s">
        <v>327</v>
      </c>
      <c r="J115" s="194" t="s">
        <v>128</v>
      </c>
      <c r="K115" s="210">
        <v>0</v>
      </c>
      <c r="L115" s="211">
        <v>1</v>
      </c>
      <c r="M115" s="194" t="s">
        <v>51</v>
      </c>
      <c r="N115" s="194" t="s">
        <v>68</v>
      </c>
      <c r="O115" s="194" t="s">
        <v>21</v>
      </c>
      <c r="P115" s="194" t="s">
        <v>36</v>
      </c>
      <c r="Q115" s="194" t="s">
        <v>75</v>
      </c>
      <c r="R115" s="194" t="s">
        <v>570</v>
      </c>
      <c r="S115" s="194" t="s">
        <v>98</v>
      </c>
      <c r="T115" s="211">
        <v>1</v>
      </c>
      <c r="U115" s="212" t="str">
        <f t="shared" si="43"/>
        <v>Remitir informes trimestrales de los indicadores formulados y las acciones de mejoras</v>
      </c>
      <c r="V115" s="213">
        <f t="shared" si="43"/>
        <v>0</v>
      </c>
      <c r="W115" s="214" t="s">
        <v>117</v>
      </c>
      <c r="X115" s="216">
        <v>0</v>
      </c>
      <c r="Y115" s="214" t="s">
        <v>128</v>
      </c>
      <c r="Z115" s="210">
        <v>0</v>
      </c>
      <c r="AA115" s="196"/>
      <c r="AB115" s="196"/>
      <c r="AC115" s="204" t="e">
        <f t="shared" si="44"/>
        <v>#DIV/0!</v>
      </c>
      <c r="AD115" s="204" t="e">
        <f t="shared" si="45"/>
        <v>#DIV/0!</v>
      </c>
      <c r="AE115" s="204">
        <f t="shared" si="31"/>
        <v>0</v>
      </c>
      <c r="AF115" s="204" t="e">
        <f t="shared" si="32"/>
        <v>#DIV/0!</v>
      </c>
      <c r="AG115" s="216">
        <v>0</v>
      </c>
      <c r="AH115" s="214" t="s">
        <v>128</v>
      </c>
      <c r="AI115" s="210">
        <v>0</v>
      </c>
      <c r="AJ115" s="196"/>
      <c r="AK115" s="196"/>
      <c r="AL115" s="204" t="e">
        <f t="shared" si="46"/>
        <v>#DIV/0!</v>
      </c>
      <c r="AM115" s="204" t="e">
        <f t="shared" si="33"/>
        <v>#DIV/0!</v>
      </c>
      <c r="AN115" s="204">
        <f t="shared" si="34"/>
        <v>0</v>
      </c>
      <c r="AO115" s="204" t="e">
        <f t="shared" si="35"/>
        <v>#DIV/0!</v>
      </c>
      <c r="AP115" s="216">
        <v>0</v>
      </c>
      <c r="AQ115" s="214" t="s">
        <v>128</v>
      </c>
      <c r="AR115" s="210">
        <v>0</v>
      </c>
      <c r="AS115" s="196"/>
      <c r="AT115" s="196"/>
      <c r="AU115" s="204" t="e">
        <f t="shared" si="47"/>
        <v>#DIV/0!</v>
      </c>
      <c r="AV115" s="204" t="e">
        <f t="shared" si="48"/>
        <v>#DIV/0!</v>
      </c>
      <c r="AW115" s="204">
        <f t="shared" si="49"/>
        <v>0</v>
      </c>
      <c r="AX115" s="204" t="e">
        <f t="shared" si="50"/>
        <v>#DIV/0!</v>
      </c>
      <c r="AY115" s="216">
        <v>1</v>
      </c>
      <c r="AZ115" s="214" t="s">
        <v>128</v>
      </c>
      <c r="BA115" s="210">
        <v>0</v>
      </c>
      <c r="BB115" s="196"/>
      <c r="BC115" s="196"/>
      <c r="BD115" s="216">
        <f t="shared" si="51"/>
        <v>0</v>
      </c>
      <c r="BE115" s="216" t="e">
        <f t="shared" si="52"/>
        <v>#DIV/0!</v>
      </c>
      <c r="BF115" s="216">
        <f t="shared" si="53"/>
        <v>0</v>
      </c>
      <c r="BG115" s="216" t="e">
        <f t="shared" si="54"/>
        <v>#DIV/0!</v>
      </c>
      <c r="BH115" s="217" t="str">
        <f t="shared" si="36"/>
        <v>No Prog ni Ejec</v>
      </c>
      <c r="BI115" s="217" t="str">
        <f t="shared" si="37"/>
        <v>No Prog ni Ejec</v>
      </c>
      <c r="BJ115" s="217" t="str">
        <f t="shared" si="38"/>
        <v>No Prog ni Ejec</v>
      </c>
      <c r="BK115" s="217" t="str">
        <f t="shared" si="39"/>
        <v>No Prog ni Ejec</v>
      </c>
      <c r="BL115" s="217" t="str">
        <f t="shared" si="55"/>
        <v>No Prog ni Ejec</v>
      </c>
      <c r="BM115" s="217" t="str">
        <f t="shared" si="56"/>
        <v>No Prog ni Ejec</v>
      </c>
      <c r="BN115" s="217">
        <f t="shared" si="40"/>
        <v>0</v>
      </c>
      <c r="BO115" s="217" t="str">
        <f t="shared" si="41"/>
        <v>No Prog ni Ejec</v>
      </c>
      <c r="BP115" s="206"/>
      <c r="BQ115" s="277">
        <v>5</v>
      </c>
      <c r="BR115" s="208">
        <f t="shared" si="42"/>
        <v>0</v>
      </c>
      <c r="BS115" s="219" t="str">
        <f t="shared" si="57"/>
        <v>Remitir informes trimestrales de los indicadores formulados y las acciones de mejoras</v>
      </c>
      <c r="BT115" s="195">
        <f t="shared" si="30"/>
        <v>0</v>
      </c>
      <c r="BU115" s="196"/>
      <c r="BV115" s="196"/>
      <c r="BW115" s="196"/>
      <c r="BX115" s="196"/>
      <c r="BY115" s="196"/>
      <c r="BZ115" s="19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c r="GU115" s="146"/>
      <c r="GV115" s="146"/>
      <c r="GW115" s="146"/>
      <c r="GX115" s="146"/>
      <c r="GY115" s="146"/>
      <c r="GZ115" s="146"/>
      <c r="HA115" s="146"/>
      <c r="HB115" s="146"/>
      <c r="HC115" s="146"/>
      <c r="HD115" s="146"/>
      <c r="HE115" s="146"/>
      <c r="HF115" s="146"/>
      <c r="HG115" s="146"/>
      <c r="HH115" s="146"/>
      <c r="HI115" s="146"/>
      <c r="HJ115" s="146"/>
      <c r="HK115" s="146"/>
      <c r="HL115" s="146"/>
      <c r="HM115" s="146"/>
      <c r="HN115" s="146"/>
      <c r="HO115" s="146"/>
      <c r="HP115" s="146"/>
      <c r="HQ115" s="146"/>
      <c r="HR115" s="146"/>
      <c r="HS115" s="146"/>
      <c r="HT115" s="146"/>
      <c r="HU115" s="146"/>
      <c r="HV115" s="146"/>
      <c r="HW115" s="146"/>
      <c r="HX115" s="146"/>
      <c r="HY115" s="146"/>
      <c r="HZ115" s="146"/>
      <c r="IA115" s="146"/>
    </row>
    <row r="116" spans="1:235" s="153" customFormat="1" ht="99.75" x14ac:dyDescent="0.25">
      <c r="A116" s="197">
        <v>11800</v>
      </c>
      <c r="B116" s="194" t="s">
        <v>5</v>
      </c>
      <c r="C116" s="198" t="s">
        <v>333</v>
      </c>
      <c r="D116" s="194" t="s">
        <v>256</v>
      </c>
      <c r="E116" s="198" t="s">
        <v>324</v>
      </c>
      <c r="F116" s="201" t="s">
        <v>678</v>
      </c>
      <c r="G116" s="209" t="s">
        <v>123</v>
      </c>
      <c r="H116" s="246">
        <v>1</v>
      </c>
      <c r="I116" s="198" t="s">
        <v>339</v>
      </c>
      <c r="J116" s="194" t="s">
        <v>334</v>
      </c>
      <c r="K116" s="210">
        <v>0</v>
      </c>
      <c r="L116" s="211">
        <v>1</v>
      </c>
      <c r="M116" s="194" t="s">
        <v>50</v>
      </c>
      <c r="N116" s="194" t="s">
        <v>64</v>
      </c>
      <c r="O116" s="194" t="s">
        <v>37</v>
      </c>
      <c r="P116" s="194" t="s">
        <v>39</v>
      </c>
      <c r="Q116" s="194" t="s">
        <v>230</v>
      </c>
      <c r="R116" s="201" t="s">
        <v>342</v>
      </c>
      <c r="S116" s="194" t="s">
        <v>105</v>
      </c>
      <c r="T116" s="211">
        <v>1</v>
      </c>
      <c r="U116" s="212" t="str">
        <f t="shared" si="43"/>
        <v>Realizar las auditorías internas, de acuerdo a lo programado para la vigencia.</v>
      </c>
      <c r="V116" s="213">
        <f t="shared" si="43"/>
        <v>0</v>
      </c>
      <c r="W116" s="214" t="s">
        <v>117</v>
      </c>
      <c r="X116" s="216">
        <v>0.25</v>
      </c>
      <c r="Y116" s="214" t="s">
        <v>334</v>
      </c>
      <c r="Z116" s="210">
        <v>0</v>
      </c>
      <c r="AA116" s="196"/>
      <c r="AB116" s="196"/>
      <c r="AC116" s="204">
        <f t="shared" si="44"/>
        <v>0</v>
      </c>
      <c r="AD116" s="204" t="e">
        <f t="shared" si="45"/>
        <v>#DIV/0!</v>
      </c>
      <c r="AE116" s="204">
        <f t="shared" si="31"/>
        <v>0</v>
      </c>
      <c r="AF116" s="204" t="e">
        <f t="shared" si="32"/>
        <v>#DIV/0!</v>
      </c>
      <c r="AG116" s="216">
        <v>0.25</v>
      </c>
      <c r="AH116" s="214" t="s">
        <v>334</v>
      </c>
      <c r="AI116" s="210">
        <v>0</v>
      </c>
      <c r="AJ116" s="196"/>
      <c r="AK116" s="196"/>
      <c r="AL116" s="204">
        <f t="shared" si="46"/>
        <v>0</v>
      </c>
      <c r="AM116" s="204" t="e">
        <f t="shared" si="33"/>
        <v>#DIV/0!</v>
      </c>
      <c r="AN116" s="204">
        <f t="shared" si="34"/>
        <v>0</v>
      </c>
      <c r="AO116" s="204" t="e">
        <f t="shared" si="35"/>
        <v>#DIV/0!</v>
      </c>
      <c r="AP116" s="216">
        <v>0.25</v>
      </c>
      <c r="AQ116" s="214" t="s">
        <v>334</v>
      </c>
      <c r="AR116" s="210">
        <v>0</v>
      </c>
      <c r="AS116" s="196"/>
      <c r="AT116" s="196"/>
      <c r="AU116" s="204">
        <f t="shared" si="47"/>
        <v>0</v>
      </c>
      <c r="AV116" s="204" t="e">
        <f t="shared" si="48"/>
        <v>#DIV/0!</v>
      </c>
      <c r="AW116" s="204">
        <f t="shared" si="49"/>
        <v>0</v>
      </c>
      <c r="AX116" s="204" t="e">
        <f t="shared" si="50"/>
        <v>#DIV/0!</v>
      </c>
      <c r="AY116" s="216">
        <v>0.25</v>
      </c>
      <c r="AZ116" s="214" t="s">
        <v>334</v>
      </c>
      <c r="BA116" s="210">
        <v>0</v>
      </c>
      <c r="BB116" s="196"/>
      <c r="BC116" s="196"/>
      <c r="BD116" s="216">
        <f t="shared" si="51"/>
        <v>0</v>
      </c>
      <c r="BE116" s="216" t="e">
        <f t="shared" si="52"/>
        <v>#DIV/0!</v>
      </c>
      <c r="BF116" s="216">
        <f t="shared" si="53"/>
        <v>0</v>
      </c>
      <c r="BG116" s="216" t="e">
        <f t="shared" si="54"/>
        <v>#DIV/0!</v>
      </c>
      <c r="BH116" s="217">
        <f t="shared" si="36"/>
        <v>0</v>
      </c>
      <c r="BI116" s="217" t="str">
        <f t="shared" si="37"/>
        <v>No Prog ni Ejec</v>
      </c>
      <c r="BJ116" s="217">
        <f t="shared" si="38"/>
        <v>0</v>
      </c>
      <c r="BK116" s="217" t="str">
        <f t="shared" si="39"/>
        <v>No Prog ni Ejec</v>
      </c>
      <c r="BL116" s="217">
        <f t="shared" si="55"/>
        <v>0</v>
      </c>
      <c r="BM116" s="217" t="str">
        <f t="shared" si="56"/>
        <v>No Prog ni Ejec</v>
      </c>
      <c r="BN116" s="217">
        <f t="shared" si="40"/>
        <v>0</v>
      </c>
      <c r="BO116" s="217" t="str">
        <f t="shared" si="41"/>
        <v>No Prog ni Ejec</v>
      </c>
      <c r="BP116" s="206"/>
      <c r="BQ116" s="277">
        <v>7</v>
      </c>
      <c r="BR116" s="208">
        <f t="shared" si="42"/>
        <v>0.58333333333333337</v>
      </c>
      <c r="BS116" s="219" t="str">
        <f t="shared" si="57"/>
        <v>Realizar las auditorías internas, de acuerdo a lo programado para la vigencia.</v>
      </c>
      <c r="BT116" s="195">
        <f t="shared" si="30"/>
        <v>0</v>
      </c>
      <c r="BU116" s="196"/>
      <c r="BV116" s="196"/>
      <c r="BW116" s="196"/>
      <c r="BX116" s="196"/>
      <c r="BY116" s="196"/>
      <c r="BZ116" s="19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c r="EO116" s="146"/>
      <c r="EP116" s="146"/>
      <c r="EQ116" s="146"/>
      <c r="ER116" s="146"/>
      <c r="ES116" s="146"/>
      <c r="ET116" s="146"/>
      <c r="EU116" s="146"/>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c r="GU116" s="146"/>
      <c r="GV116" s="146"/>
      <c r="GW116" s="146"/>
      <c r="GX116" s="146"/>
      <c r="GY116" s="146"/>
      <c r="GZ116" s="146"/>
      <c r="HA116" s="146"/>
      <c r="HB116" s="146"/>
      <c r="HC116" s="146"/>
      <c r="HD116" s="146"/>
      <c r="HE116" s="146"/>
      <c r="HF116" s="146"/>
      <c r="HG116" s="146"/>
      <c r="HH116" s="146"/>
      <c r="HI116" s="146"/>
      <c r="HJ116" s="146"/>
      <c r="HK116" s="146"/>
      <c r="HL116" s="146"/>
      <c r="HM116" s="146"/>
      <c r="HN116" s="146"/>
      <c r="HO116" s="146"/>
      <c r="HP116" s="146"/>
      <c r="HQ116" s="146"/>
      <c r="HR116" s="146"/>
      <c r="HS116" s="146"/>
      <c r="HT116" s="146"/>
      <c r="HU116" s="146"/>
      <c r="HV116" s="146"/>
      <c r="HW116" s="146"/>
      <c r="HX116" s="146"/>
      <c r="HY116" s="146"/>
      <c r="HZ116" s="146"/>
      <c r="IA116" s="146"/>
    </row>
    <row r="117" spans="1:235" s="153" customFormat="1" ht="99.75" x14ac:dyDescent="0.25">
      <c r="A117" s="197">
        <v>11800</v>
      </c>
      <c r="B117" s="194" t="s">
        <v>5</v>
      </c>
      <c r="C117" s="198" t="s">
        <v>345</v>
      </c>
      <c r="D117" s="194" t="s">
        <v>256</v>
      </c>
      <c r="E117" s="198" t="s">
        <v>552</v>
      </c>
      <c r="F117" s="194" t="s">
        <v>679</v>
      </c>
      <c r="G117" s="209" t="s">
        <v>123</v>
      </c>
      <c r="H117" s="246">
        <v>1</v>
      </c>
      <c r="I117" s="198" t="s">
        <v>553</v>
      </c>
      <c r="J117" s="194" t="s">
        <v>335</v>
      </c>
      <c r="K117" s="210">
        <v>0</v>
      </c>
      <c r="L117" s="211">
        <v>1</v>
      </c>
      <c r="M117" s="194" t="s">
        <v>50</v>
      </c>
      <c r="N117" s="194" t="s">
        <v>64</v>
      </c>
      <c r="O117" s="194" t="s">
        <v>37</v>
      </c>
      <c r="P117" s="194" t="s">
        <v>39</v>
      </c>
      <c r="Q117" s="194" t="s">
        <v>230</v>
      </c>
      <c r="R117" s="194" t="s">
        <v>343</v>
      </c>
      <c r="S117" s="194" t="s">
        <v>105</v>
      </c>
      <c r="T117" s="211">
        <v>1</v>
      </c>
      <c r="U117" s="212" t="str">
        <f t="shared" si="43"/>
        <v>Dar respuesta a requerimientos de carácter interno en el marco de la normatividad vigente</v>
      </c>
      <c r="V117" s="213">
        <f t="shared" si="43"/>
        <v>0</v>
      </c>
      <c r="W117" s="214" t="s">
        <v>117</v>
      </c>
      <c r="X117" s="216">
        <v>0.25</v>
      </c>
      <c r="Y117" s="214" t="s">
        <v>335</v>
      </c>
      <c r="Z117" s="210">
        <v>0</v>
      </c>
      <c r="AA117" s="196"/>
      <c r="AB117" s="196"/>
      <c r="AC117" s="204">
        <f t="shared" si="44"/>
        <v>0</v>
      </c>
      <c r="AD117" s="204" t="e">
        <f t="shared" si="45"/>
        <v>#DIV/0!</v>
      </c>
      <c r="AE117" s="204">
        <f t="shared" si="31"/>
        <v>0</v>
      </c>
      <c r="AF117" s="204" t="e">
        <f t="shared" si="32"/>
        <v>#DIV/0!</v>
      </c>
      <c r="AG117" s="216">
        <v>0.25</v>
      </c>
      <c r="AH117" s="214" t="s">
        <v>335</v>
      </c>
      <c r="AI117" s="210">
        <v>0</v>
      </c>
      <c r="AJ117" s="196"/>
      <c r="AK117" s="196"/>
      <c r="AL117" s="204">
        <f t="shared" si="46"/>
        <v>0</v>
      </c>
      <c r="AM117" s="204" t="e">
        <f t="shared" si="33"/>
        <v>#DIV/0!</v>
      </c>
      <c r="AN117" s="204">
        <f t="shared" si="34"/>
        <v>0</v>
      </c>
      <c r="AO117" s="204" t="e">
        <f t="shared" si="35"/>
        <v>#DIV/0!</v>
      </c>
      <c r="AP117" s="216">
        <v>0.25</v>
      </c>
      <c r="AQ117" s="214" t="s">
        <v>335</v>
      </c>
      <c r="AR117" s="210">
        <v>0</v>
      </c>
      <c r="AS117" s="196"/>
      <c r="AT117" s="196"/>
      <c r="AU117" s="204">
        <f t="shared" si="47"/>
        <v>0</v>
      </c>
      <c r="AV117" s="204" t="e">
        <f t="shared" si="48"/>
        <v>#DIV/0!</v>
      </c>
      <c r="AW117" s="204">
        <f t="shared" si="49"/>
        <v>0</v>
      </c>
      <c r="AX117" s="204" t="e">
        <f t="shared" si="50"/>
        <v>#DIV/0!</v>
      </c>
      <c r="AY117" s="216">
        <v>0.25</v>
      </c>
      <c r="AZ117" s="214" t="s">
        <v>335</v>
      </c>
      <c r="BA117" s="210">
        <v>0</v>
      </c>
      <c r="BB117" s="196"/>
      <c r="BC117" s="196"/>
      <c r="BD117" s="216">
        <f t="shared" si="51"/>
        <v>0</v>
      </c>
      <c r="BE117" s="216" t="e">
        <f t="shared" si="52"/>
        <v>#DIV/0!</v>
      </c>
      <c r="BF117" s="216">
        <f t="shared" si="53"/>
        <v>0</v>
      </c>
      <c r="BG117" s="216" t="e">
        <f t="shared" si="54"/>
        <v>#DIV/0!</v>
      </c>
      <c r="BH117" s="217">
        <f t="shared" si="36"/>
        <v>0</v>
      </c>
      <c r="BI117" s="217" t="str">
        <f t="shared" si="37"/>
        <v>No Prog ni Ejec</v>
      </c>
      <c r="BJ117" s="217">
        <f t="shared" si="38"/>
        <v>0</v>
      </c>
      <c r="BK117" s="217" t="str">
        <f t="shared" si="39"/>
        <v>No Prog ni Ejec</v>
      </c>
      <c r="BL117" s="217">
        <f t="shared" si="55"/>
        <v>0</v>
      </c>
      <c r="BM117" s="217" t="str">
        <f t="shared" si="56"/>
        <v>No Prog ni Ejec</v>
      </c>
      <c r="BN117" s="217">
        <f t="shared" si="40"/>
        <v>0</v>
      </c>
      <c r="BO117" s="217" t="str">
        <f t="shared" si="41"/>
        <v>No Prog ni Ejec</v>
      </c>
      <c r="BP117" s="206"/>
      <c r="BQ117" s="277">
        <v>7</v>
      </c>
      <c r="BR117" s="208">
        <f t="shared" si="42"/>
        <v>0.58333333333333337</v>
      </c>
      <c r="BS117" s="219" t="str">
        <f t="shared" si="57"/>
        <v>Dar respuesta a requerimientos de carácter interno en el marco de la normatividad vigente</v>
      </c>
      <c r="BT117" s="195">
        <f t="shared" si="30"/>
        <v>0</v>
      </c>
      <c r="BU117" s="196"/>
      <c r="BV117" s="196"/>
      <c r="BW117" s="196"/>
      <c r="BX117" s="196"/>
      <c r="BY117" s="196"/>
      <c r="BZ117" s="19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c r="EO117" s="146"/>
      <c r="EP117" s="146"/>
      <c r="EQ117" s="146"/>
      <c r="ER117" s="146"/>
      <c r="ES117" s="146"/>
      <c r="ET117" s="146"/>
      <c r="EU117" s="146"/>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c r="GU117" s="146"/>
      <c r="GV117" s="146"/>
      <c r="GW117" s="146"/>
      <c r="GX117" s="146"/>
      <c r="GY117" s="146"/>
      <c r="GZ117" s="146"/>
      <c r="HA117" s="146"/>
      <c r="HB117" s="146"/>
      <c r="HC117" s="146"/>
      <c r="HD117" s="146"/>
      <c r="HE117" s="146"/>
      <c r="HF117" s="146"/>
      <c r="HG117" s="146"/>
      <c r="HH117" s="146"/>
      <c r="HI117" s="146"/>
      <c r="HJ117" s="146"/>
      <c r="HK117" s="146"/>
      <c r="HL117" s="146"/>
      <c r="HM117" s="146"/>
      <c r="HN117" s="146"/>
      <c r="HO117" s="146"/>
      <c r="HP117" s="146"/>
      <c r="HQ117" s="146"/>
      <c r="HR117" s="146"/>
      <c r="HS117" s="146"/>
      <c r="HT117" s="146"/>
      <c r="HU117" s="146"/>
      <c r="HV117" s="146"/>
      <c r="HW117" s="146"/>
      <c r="HX117" s="146"/>
      <c r="HY117" s="146"/>
      <c r="HZ117" s="146"/>
      <c r="IA117" s="146"/>
    </row>
    <row r="118" spans="1:235" s="154" customFormat="1" ht="99.75" x14ac:dyDescent="0.25">
      <c r="A118" s="197">
        <v>11800</v>
      </c>
      <c r="B118" s="194" t="s">
        <v>5</v>
      </c>
      <c r="C118" s="198" t="s">
        <v>346</v>
      </c>
      <c r="D118" s="194" t="s">
        <v>256</v>
      </c>
      <c r="E118" s="198" t="s">
        <v>554</v>
      </c>
      <c r="F118" s="194" t="s">
        <v>680</v>
      </c>
      <c r="G118" s="209" t="s">
        <v>123</v>
      </c>
      <c r="H118" s="246">
        <v>1</v>
      </c>
      <c r="I118" s="198" t="s">
        <v>555</v>
      </c>
      <c r="J118" s="194" t="s">
        <v>336</v>
      </c>
      <c r="K118" s="210">
        <v>0</v>
      </c>
      <c r="L118" s="211">
        <v>1</v>
      </c>
      <c r="M118" s="194" t="s">
        <v>50</v>
      </c>
      <c r="N118" s="194" t="s">
        <v>64</v>
      </c>
      <c r="O118" s="194" t="s">
        <v>37</v>
      </c>
      <c r="P118" s="194" t="s">
        <v>39</v>
      </c>
      <c r="Q118" s="194" t="s">
        <v>230</v>
      </c>
      <c r="R118" s="194" t="s">
        <v>344</v>
      </c>
      <c r="S118" s="194" t="s">
        <v>105</v>
      </c>
      <c r="T118" s="211">
        <v>1</v>
      </c>
      <c r="U118" s="212" t="str">
        <f t="shared" si="43"/>
        <v>Dar respuesta a requerimientos de organismos externos en el marco de la normatividad vigente</v>
      </c>
      <c r="V118" s="213">
        <f t="shared" si="43"/>
        <v>0</v>
      </c>
      <c r="W118" s="214" t="s">
        <v>117</v>
      </c>
      <c r="X118" s="216">
        <v>0.25</v>
      </c>
      <c r="Y118" s="214" t="s">
        <v>336</v>
      </c>
      <c r="Z118" s="210">
        <v>0</v>
      </c>
      <c r="AA118" s="196"/>
      <c r="AB118" s="196"/>
      <c r="AC118" s="204">
        <f t="shared" si="44"/>
        <v>0</v>
      </c>
      <c r="AD118" s="204" t="e">
        <f t="shared" si="45"/>
        <v>#DIV/0!</v>
      </c>
      <c r="AE118" s="204">
        <f t="shared" si="31"/>
        <v>0</v>
      </c>
      <c r="AF118" s="204" t="e">
        <f t="shared" si="32"/>
        <v>#DIV/0!</v>
      </c>
      <c r="AG118" s="216">
        <v>0.25</v>
      </c>
      <c r="AH118" s="214" t="s">
        <v>336</v>
      </c>
      <c r="AI118" s="210">
        <v>0</v>
      </c>
      <c r="AJ118" s="196"/>
      <c r="AK118" s="196"/>
      <c r="AL118" s="204">
        <f t="shared" si="46"/>
        <v>0</v>
      </c>
      <c r="AM118" s="204" t="e">
        <f t="shared" si="33"/>
        <v>#DIV/0!</v>
      </c>
      <c r="AN118" s="204">
        <f t="shared" si="34"/>
        <v>0</v>
      </c>
      <c r="AO118" s="204" t="e">
        <f t="shared" si="35"/>
        <v>#DIV/0!</v>
      </c>
      <c r="AP118" s="216">
        <v>0.25</v>
      </c>
      <c r="AQ118" s="214" t="s">
        <v>336</v>
      </c>
      <c r="AR118" s="210">
        <v>0</v>
      </c>
      <c r="AS118" s="196"/>
      <c r="AT118" s="196"/>
      <c r="AU118" s="204">
        <f t="shared" si="47"/>
        <v>0</v>
      </c>
      <c r="AV118" s="204" t="e">
        <f t="shared" si="48"/>
        <v>#DIV/0!</v>
      </c>
      <c r="AW118" s="204">
        <f t="shared" si="49"/>
        <v>0</v>
      </c>
      <c r="AX118" s="204" t="e">
        <f t="shared" si="50"/>
        <v>#DIV/0!</v>
      </c>
      <c r="AY118" s="216">
        <v>0.25</v>
      </c>
      <c r="AZ118" s="214" t="s">
        <v>336</v>
      </c>
      <c r="BA118" s="210">
        <v>0</v>
      </c>
      <c r="BB118" s="196"/>
      <c r="BC118" s="196"/>
      <c r="BD118" s="216">
        <f t="shared" si="51"/>
        <v>0</v>
      </c>
      <c r="BE118" s="216" t="e">
        <f t="shared" si="52"/>
        <v>#DIV/0!</v>
      </c>
      <c r="BF118" s="216">
        <f t="shared" si="53"/>
        <v>0</v>
      </c>
      <c r="BG118" s="216" t="e">
        <f t="shared" si="54"/>
        <v>#DIV/0!</v>
      </c>
      <c r="BH118" s="207">
        <f t="shared" si="36"/>
        <v>0</v>
      </c>
      <c r="BI118" s="207" t="str">
        <f t="shared" si="37"/>
        <v>No Prog ni Ejec</v>
      </c>
      <c r="BJ118" s="207">
        <f t="shared" si="38"/>
        <v>0</v>
      </c>
      <c r="BK118" s="207" t="str">
        <f t="shared" si="39"/>
        <v>No Prog ni Ejec</v>
      </c>
      <c r="BL118" s="207">
        <f t="shared" si="55"/>
        <v>0</v>
      </c>
      <c r="BM118" s="207" t="str">
        <f t="shared" si="56"/>
        <v>No Prog ni Ejec</v>
      </c>
      <c r="BN118" s="207">
        <f t="shared" si="40"/>
        <v>0</v>
      </c>
      <c r="BO118" s="207" t="str">
        <f t="shared" si="41"/>
        <v>No Prog ni Ejec</v>
      </c>
      <c r="BP118" s="206"/>
      <c r="BQ118" s="277">
        <v>7</v>
      </c>
      <c r="BR118" s="208">
        <f t="shared" si="42"/>
        <v>0.58333333333333337</v>
      </c>
      <c r="BS118" s="219" t="str">
        <f t="shared" si="57"/>
        <v>Dar respuesta a requerimientos de organismos externos en el marco de la normatividad vigente</v>
      </c>
      <c r="BT118" s="195">
        <f t="shared" si="30"/>
        <v>0</v>
      </c>
      <c r="BU118" s="196"/>
      <c r="BV118" s="196"/>
      <c r="BW118" s="196"/>
      <c r="BX118" s="196"/>
      <c r="BY118" s="196"/>
      <c r="BZ118" s="19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CZ118" s="146"/>
      <c r="DA118" s="146"/>
      <c r="DB118" s="146"/>
      <c r="DC118" s="146"/>
      <c r="DD118" s="146"/>
      <c r="DE118" s="146"/>
      <c r="DF118" s="146"/>
      <c r="DG118" s="146"/>
      <c r="DH118" s="146"/>
      <c r="DI118" s="146"/>
      <c r="DJ118" s="146"/>
      <c r="DK118" s="146"/>
      <c r="DL118" s="146"/>
      <c r="DM118" s="146"/>
      <c r="DN118" s="146"/>
      <c r="DO118" s="146"/>
      <c r="DP118" s="146"/>
      <c r="DQ118" s="146"/>
      <c r="DR118" s="146"/>
      <c r="DS118" s="146"/>
      <c r="DT118" s="146"/>
      <c r="DU118" s="146"/>
      <c r="DV118" s="146"/>
      <c r="DW118" s="146"/>
      <c r="DX118" s="146"/>
      <c r="DY118" s="146"/>
      <c r="DZ118" s="146"/>
      <c r="EA118" s="146"/>
      <c r="EB118" s="146"/>
      <c r="EC118" s="146"/>
      <c r="ED118" s="146"/>
      <c r="EE118" s="146"/>
      <c r="EF118" s="146"/>
      <c r="EG118" s="146"/>
      <c r="EH118" s="146"/>
      <c r="EI118" s="146"/>
      <c r="EJ118" s="146"/>
      <c r="EK118" s="146"/>
      <c r="EL118" s="146"/>
      <c r="EM118" s="146"/>
      <c r="EN118" s="146"/>
      <c r="EO118" s="146"/>
      <c r="EP118" s="146"/>
      <c r="EQ118" s="146"/>
      <c r="ER118" s="146"/>
      <c r="ES118" s="146"/>
      <c r="ET118" s="146"/>
      <c r="EU118" s="14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c r="GU118" s="146"/>
      <c r="GV118" s="146"/>
      <c r="GW118" s="146"/>
      <c r="GX118" s="146"/>
      <c r="GY118" s="146"/>
      <c r="GZ118" s="146"/>
      <c r="HA118" s="146"/>
      <c r="HB118" s="146"/>
      <c r="HC118" s="146"/>
      <c r="HD118" s="146"/>
      <c r="HE118" s="146"/>
      <c r="HF118" s="146"/>
      <c r="HG118" s="146"/>
      <c r="HH118" s="146"/>
      <c r="HI118" s="146"/>
      <c r="HJ118" s="146"/>
      <c r="HK118" s="146"/>
      <c r="HL118" s="146"/>
      <c r="HM118" s="146"/>
      <c r="HN118" s="146"/>
      <c r="HO118" s="146"/>
      <c r="HP118" s="146"/>
      <c r="HQ118" s="146"/>
      <c r="HR118" s="146"/>
      <c r="HS118" s="146"/>
      <c r="HT118" s="146"/>
      <c r="HU118" s="146"/>
      <c r="HV118" s="146"/>
      <c r="HW118" s="146"/>
      <c r="HX118" s="146"/>
      <c r="HY118" s="146"/>
      <c r="HZ118" s="146"/>
      <c r="IA118" s="146"/>
    </row>
    <row r="119" spans="1:235" s="153" customFormat="1" ht="99.75" x14ac:dyDescent="0.25">
      <c r="A119" s="197">
        <v>11800</v>
      </c>
      <c r="B119" s="194" t="s">
        <v>5</v>
      </c>
      <c r="C119" s="198" t="s">
        <v>347</v>
      </c>
      <c r="D119" s="194" t="s">
        <v>256</v>
      </c>
      <c r="E119" s="198" t="s">
        <v>556</v>
      </c>
      <c r="F119" s="194" t="s">
        <v>681</v>
      </c>
      <c r="G119" s="209" t="s">
        <v>123</v>
      </c>
      <c r="H119" s="246">
        <v>1</v>
      </c>
      <c r="I119" s="198" t="s">
        <v>558</v>
      </c>
      <c r="J119" s="194" t="s">
        <v>337</v>
      </c>
      <c r="K119" s="210">
        <v>0</v>
      </c>
      <c r="L119" s="211">
        <v>1</v>
      </c>
      <c r="M119" s="194" t="s">
        <v>50</v>
      </c>
      <c r="N119" s="194" t="s">
        <v>64</v>
      </c>
      <c r="O119" s="194" t="s">
        <v>37</v>
      </c>
      <c r="P119" s="194" t="s">
        <v>39</v>
      </c>
      <c r="Q119" s="194" t="s">
        <v>230</v>
      </c>
      <c r="R119" s="194" t="s">
        <v>340</v>
      </c>
      <c r="S119" s="194" t="s">
        <v>105</v>
      </c>
      <c r="T119" s="211">
        <v>1</v>
      </c>
      <c r="U119" s="212" t="str">
        <f t="shared" si="43"/>
        <v>Medir el grado de cumplimiento de las acciones que hacen parte del Plan de mejoramiento institucional derivadas de la Auditoría de la CGR.</v>
      </c>
      <c r="V119" s="213">
        <f t="shared" si="43"/>
        <v>0</v>
      </c>
      <c r="W119" s="214" t="s">
        <v>117</v>
      </c>
      <c r="X119" s="216">
        <v>0.25</v>
      </c>
      <c r="Y119" s="214" t="s">
        <v>337</v>
      </c>
      <c r="Z119" s="210">
        <v>0</v>
      </c>
      <c r="AA119" s="196"/>
      <c r="AB119" s="196"/>
      <c r="AC119" s="204">
        <f t="shared" si="44"/>
        <v>0</v>
      </c>
      <c r="AD119" s="204" t="e">
        <f t="shared" si="45"/>
        <v>#DIV/0!</v>
      </c>
      <c r="AE119" s="204">
        <f t="shared" si="31"/>
        <v>0</v>
      </c>
      <c r="AF119" s="204" t="e">
        <f t="shared" si="32"/>
        <v>#DIV/0!</v>
      </c>
      <c r="AG119" s="216">
        <v>0.25</v>
      </c>
      <c r="AH119" s="214" t="s">
        <v>337</v>
      </c>
      <c r="AI119" s="210">
        <v>0</v>
      </c>
      <c r="AJ119" s="196"/>
      <c r="AK119" s="196"/>
      <c r="AL119" s="204">
        <f t="shared" si="46"/>
        <v>0</v>
      </c>
      <c r="AM119" s="204" t="e">
        <f t="shared" si="33"/>
        <v>#DIV/0!</v>
      </c>
      <c r="AN119" s="204">
        <f t="shared" si="34"/>
        <v>0</v>
      </c>
      <c r="AO119" s="204" t="e">
        <f t="shared" si="35"/>
        <v>#DIV/0!</v>
      </c>
      <c r="AP119" s="216">
        <v>0.25</v>
      </c>
      <c r="AQ119" s="214" t="s">
        <v>337</v>
      </c>
      <c r="AR119" s="210">
        <v>0</v>
      </c>
      <c r="AS119" s="196"/>
      <c r="AT119" s="196"/>
      <c r="AU119" s="204">
        <f t="shared" si="47"/>
        <v>0</v>
      </c>
      <c r="AV119" s="204" t="e">
        <f t="shared" si="48"/>
        <v>#DIV/0!</v>
      </c>
      <c r="AW119" s="204">
        <f t="shared" si="49"/>
        <v>0</v>
      </c>
      <c r="AX119" s="204" t="e">
        <f t="shared" si="50"/>
        <v>#DIV/0!</v>
      </c>
      <c r="AY119" s="216">
        <v>0.25</v>
      </c>
      <c r="AZ119" s="214" t="s">
        <v>337</v>
      </c>
      <c r="BA119" s="210">
        <v>0</v>
      </c>
      <c r="BB119" s="196"/>
      <c r="BC119" s="196"/>
      <c r="BD119" s="216">
        <f t="shared" si="51"/>
        <v>0</v>
      </c>
      <c r="BE119" s="216" t="e">
        <f t="shared" si="52"/>
        <v>#DIV/0!</v>
      </c>
      <c r="BF119" s="216">
        <f t="shared" si="53"/>
        <v>0</v>
      </c>
      <c r="BG119" s="216" t="e">
        <f t="shared" si="54"/>
        <v>#DIV/0!</v>
      </c>
      <c r="BH119" s="217">
        <f t="shared" si="36"/>
        <v>0</v>
      </c>
      <c r="BI119" s="217" t="str">
        <f t="shared" si="37"/>
        <v>No Prog ni Ejec</v>
      </c>
      <c r="BJ119" s="217">
        <f t="shared" si="38"/>
        <v>0</v>
      </c>
      <c r="BK119" s="217" t="str">
        <f t="shared" si="39"/>
        <v>No Prog ni Ejec</v>
      </c>
      <c r="BL119" s="217">
        <f t="shared" si="55"/>
        <v>0</v>
      </c>
      <c r="BM119" s="217" t="str">
        <f t="shared" si="56"/>
        <v>No Prog ni Ejec</v>
      </c>
      <c r="BN119" s="217">
        <f t="shared" si="40"/>
        <v>0</v>
      </c>
      <c r="BO119" s="217" t="str">
        <f t="shared" si="41"/>
        <v>No Prog ni Ejec</v>
      </c>
      <c r="BP119" s="206"/>
      <c r="BQ119" s="277">
        <v>7</v>
      </c>
      <c r="BR119" s="208">
        <f t="shared" si="42"/>
        <v>0.58333333333333337</v>
      </c>
      <c r="BS119" s="219" t="str">
        <f t="shared" si="57"/>
        <v>Medir el grado de cumplimiento de las acciones que hacen parte del Plan de mejoramiento institucional derivadas de la Auditoría de la CGR.</v>
      </c>
      <c r="BT119" s="195">
        <f t="shared" si="30"/>
        <v>0</v>
      </c>
      <c r="BU119" s="196"/>
      <c r="BV119" s="196"/>
      <c r="BW119" s="196"/>
      <c r="BX119" s="196"/>
      <c r="BY119" s="196"/>
      <c r="BZ119" s="19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CZ119" s="146"/>
      <c r="DA119" s="146"/>
      <c r="DB119" s="146"/>
      <c r="DC119" s="146"/>
      <c r="DD119" s="146"/>
      <c r="DE119" s="146"/>
      <c r="DF119" s="146"/>
      <c r="DG119" s="146"/>
      <c r="DH119" s="146"/>
      <c r="DI119" s="146"/>
      <c r="DJ119" s="146"/>
      <c r="DK119" s="146"/>
      <c r="DL119" s="146"/>
      <c r="DM119" s="146"/>
      <c r="DN119" s="146"/>
      <c r="DO119" s="146"/>
      <c r="DP119" s="146"/>
      <c r="DQ119" s="146"/>
      <c r="DR119" s="146"/>
      <c r="DS119" s="146"/>
      <c r="DT119" s="146"/>
      <c r="DU119" s="146"/>
      <c r="DV119" s="146"/>
      <c r="DW119" s="146"/>
      <c r="DX119" s="146"/>
      <c r="DY119" s="146"/>
      <c r="DZ119" s="146"/>
      <c r="EA119" s="146"/>
      <c r="EB119" s="146"/>
      <c r="EC119" s="146"/>
      <c r="ED119" s="146"/>
      <c r="EE119" s="146"/>
      <c r="EF119" s="146"/>
      <c r="EG119" s="146"/>
      <c r="EH119" s="146"/>
      <c r="EI119" s="146"/>
      <c r="EJ119" s="146"/>
      <c r="EK119" s="146"/>
      <c r="EL119" s="146"/>
      <c r="EM119" s="146"/>
      <c r="EN119" s="146"/>
      <c r="EO119" s="146"/>
      <c r="EP119" s="146"/>
      <c r="EQ119" s="146"/>
      <c r="ER119" s="146"/>
      <c r="ES119" s="146"/>
      <c r="ET119" s="146"/>
      <c r="EU119" s="146"/>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c r="GU119" s="146"/>
      <c r="GV119" s="146"/>
      <c r="GW119" s="146"/>
      <c r="GX119" s="146"/>
      <c r="GY119" s="146"/>
      <c r="GZ119" s="146"/>
      <c r="HA119" s="146"/>
      <c r="HB119" s="146"/>
      <c r="HC119" s="146"/>
      <c r="HD119" s="146"/>
      <c r="HE119" s="146"/>
      <c r="HF119" s="146"/>
      <c r="HG119" s="146"/>
      <c r="HH119" s="146"/>
      <c r="HI119" s="146"/>
      <c r="HJ119" s="146"/>
      <c r="HK119" s="146"/>
      <c r="HL119" s="146"/>
      <c r="HM119" s="146"/>
      <c r="HN119" s="146"/>
      <c r="HO119" s="146"/>
      <c r="HP119" s="146"/>
      <c r="HQ119" s="146"/>
      <c r="HR119" s="146"/>
      <c r="HS119" s="146"/>
      <c r="HT119" s="146"/>
      <c r="HU119" s="146"/>
      <c r="HV119" s="146"/>
      <c r="HW119" s="146"/>
      <c r="HX119" s="146"/>
      <c r="HY119" s="146"/>
      <c r="HZ119" s="146"/>
      <c r="IA119" s="146"/>
    </row>
    <row r="120" spans="1:235" s="159" customFormat="1" ht="99.75" x14ac:dyDescent="0.25">
      <c r="A120" s="197">
        <v>11800</v>
      </c>
      <c r="B120" s="194" t="s">
        <v>5</v>
      </c>
      <c r="C120" s="198" t="s">
        <v>348</v>
      </c>
      <c r="D120" s="194" t="s">
        <v>256</v>
      </c>
      <c r="E120" s="198" t="s">
        <v>557</v>
      </c>
      <c r="F120" s="194" t="s">
        <v>682</v>
      </c>
      <c r="G120" s="209" t="s">
        <v>123</v>
      </c>
      <c r="H120" s="246">
        <v>1</v>
      </c>
      <c r="I120" s="198" t="s">
        <v>559</v>
      </c>
      <c r="J120" s="194" t="s">
        <v>338</v>
      </c>
      <c r="K120" s="210">
        <v>200000000</v>
      </c>
      <c r="L120" s="211">
        <v>1</v>
      </c>
      <c r="M120" s="194" t="s">
        <v>51</v>
      </c>
      <c r="N120" s="194" t="s">
        <v>56</v>
      </c>
      <c r="O120" s="194" t="s">
        <v>21</v>
      </c>
      <c r="P120" s="194" t="s">
        <v>23</v>
      </c>
      <c r="Q120" s="194" t="s">
        <v>230</v>
      </c>
      <c r="R120" s="194" t="s">
        <v>341</v>
      </c>
      <c r="S120" s="194" t="s">
        <v>105</v>
      </c>
      <c r="T120" s="211">
        <v>1</v>
      </c>
      <c r="U120" s="212" t="str">
        <f t="shared" si="43"/>
        <v>Comunicar mensajes con contenidos de autocontrol y de esta manera fomentar la cultura del autocontrol en la ADRES.</v>
      </c>
      <c r="V120" s="213">
        <f t="shared" si="43"/>
        <v>200000000</v>
      </c>
      <c r="W120" s="222" t="s">
        <v>114</v>
      </c>
      <c r="X120" s="281">
        <v>0.25</v>
      </c>
      <c r="Y120" s="282" t="s">
        <v>338</v>
      </c>
      <c r="Z120" s="283">
        <v>50000000</v>
      </c>
      <c r="AA120" s="279"/>
      <c r="AB120" s="279"/>
      <c r="AC120" s="280">
        <f t="shared" si="44"/>
        <v>0</v>
      </c>
      <c r="AD120" s="280">
        <f t="shared" si="45"/>
        <v>0</v>
      </c>
      <c r="AE120" s="280">
        <f t="shared" si="31"/>
        <v>0</v>
      </c>
      <c r="AF120" s="280">
        <f t="shared" si="32"/>
        <v>0</v>
      </c>
      <c r="AG120" s="281">
        <v>0.25</v>
      </c>
      <c r="AH120" s="282" t="s">
        <v>338</v>
      </c>
      <c r="AI120" s="283">
        <v>50000000</v>
      </c>
      <c r="AJ120" s="279"/>
      <c r="AK120" s="279"/>
      <c r="AL120" s="280">
        <f t="shared" si="46"/>
        <v>0</v>
      </c>
      <c r="AM120" s="280">
        <f t="shared" si="33"/>
        <v>0</v>
      </c>
      <c r="AN120" s="280">
        <f t="shared" si="34"/>
        <v>0</v>
      </c>
      <c r="AO120" s="280">
        <f t="shared" si="35"/>
        <v>0</v>
      </c>
      <c r="AP120" s="281">
        <v>0.25</v>
      </c>
      <c r="AQ120" s="282" t="s">
        <v>338</v>
      </c>
      <c r="AR120" s="283">
        <v>50000000</v>
      </c>
      <c r="AS120" s="279"/>
      <c r="AT120" s="279"/>
      <c r="AU120" s="280">
        <f t="shared" si="47"/>
        <v>0</v>
      </c>
      <c r="AV120" s="280">
        <f t="shared" si="48"/>
        <v>0</v>
      </c>
      <c r="AW120" s="280">
        <f t="shared" si="49"/>
        <v>0</v>
      </c>
      <c r="AX120" s="280">
        <f t="shared" si="50"/>
        <v>0</v>
      </c>
      <c r="AY120" s="281">
        <v>0.25</v>
      </c>
      <c r="AZ120" s="282" t="s">
        <v>338</v>
      </c>
      <c r="BA120" s="283">
        <v>50000000</v>
      </c>
      <c r="BB120" s="279"/>
      <c r="BC120" s="279"/>
      <c r="BD120" s="281">
        <f t="shared" si="51"/>
        <v>0</v>
      </c>
      <c r="BE120" s="281">
        <f t="shared" si="52"/>
        <v>0</v>
      </c>
      <c r="BF120" s="281">
        <f t="shared" si="53"/>
        <v>0</v>
      </c>
      <c r="BG120" s="281">
        <f t="shared" si="54"/>
        <v>0</v>
      </c>
      <c r="BH120" s="205">
        <f t="shared" si="36"/>
        <v>0</v>
      </c>
      <c r="BI120" s="205">
        <f t="shared" si="37"/>
        <v>0</v>
      </c>
      <c r="BJ120" s="205">
        <f t="shared" si="38"/>
        <v>0</v>
      </c>
      <c r="BK120" s="205">
        <f t="shared" si="39"/>
        <v>0</v>
      </c>
      <c r="BL120" s="205">
        <f t="shared" si="55"/>
        <v>0</v>
      </c>
      <c r="BM120" s="205">
        <f t="shared" si="56"/>
        <v>0</v>
      </c>
      <c r="BN120" s="205">
        <f t="shared" si="40"/>
        <v>0</v>
      </c>
      <c r="BO120" s="205">
        <f t="shared" si="41"/>
        <v>0</v>
      </c>
      <c r="BP120" s="206"/>
      <c r="BQ120" s="277">
        <v>5</v>
      </c>
      <c r="BR120" s="208">
        <f t="shared" si="42"/>
        <v>0.58333333333333337</v>
      </c>
      <c r="BS120" s="219" t="str">
        <f t="shared" si="57"/>
        <v>Comunicar mensajes con contenidos de autocontrol y de esta manera fomentar la cultura del autocontrol en la ADRES.</v>
      </c>
      <c r="BT120" s="195">
        <f t="shared" si="30"/>
        <v>116666666.66666667</v>
      </c>
      <c r="BU120" s="196"/>
      <c r="BV120" s="196"/>
      <c r="BW120" s="196"/>
      <c r="BX120" s="196"/>
      <c r="BY120" s="196"/>
      <c r="BZ120" s="19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CZ120" s="146"/>
      <c r="DA120" s="146"/>
      <c r="DB120" s="146"/>
      <c r="DC120" s="146"/>
      <c r="DD120" s="146"/>
      <c r="DE120" s="146"/>
      <c r="DF120" s="146"/>
      <c r="DG120" s="146"/>
      <c r="DH120" s="146"/>
      <c r="DI120" s="146"/>
      <c r="DJ120" s="146"/>
      <c r="DK120" s="146"/>
      <c r="DL120" s="146"/>
      <c r="DM120" s="146"/>
      <c r="DN120" s="146"/>
      <c r="DO120" s="146"/>
      <c r="DP120" s="146"/>
      <c r="DQ120" s="146"/>
      <c r="DR120" s="146"/>
      <c r="DS120" s="146"/>
      <c r="DT120" s="146"/>
      <c r="DU120" s="146"/>
      <c r="DV120" s="146"/>
      <c r="DW120" s="146"/>
      <c r="DX120" s="146"/>
      <c r="DY120" s="146"/>
      <c r="DZ120" s="146"/>
      <c r="EA120" s="146"/>
      <c r="EB120" s="146"/>
      <c r="EC120" s="146"/>
      <c r="ED120" s="146"/>
      <c r="EE120" s="146"/>
      <c r="EF120" s="146"/>
      <c r="EG120" s="146"/>
      <c r="EH120" s="146"/>
      <c r="EI120" s="146"/>
      <c r="EJ120" s="146"/>
      <c r="EK120" s="146"/>
      <c r="EL120" s="146"/>
      <c r="EM120" s="146"/>
      <c r="EN120" s="146"/>
      <c r="EO120" s="146"/>
      <c r="EP120" s="146"/>
      <c r="EQ120" s="146"/>
      <c r="ER120" s="146"/>
      <c r="ES120" s="146"/>
      <c r="ET120" s="146"/>
      <c r="EU120" s="146"/>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c r="GU120" s="146"/>
      <c r="GV120" s="146"/>
      <c r="GW120" s="146"/>
      <c r="GX120" s="146"/>
      <c r="GY120" s="146"/>
      <c r="GZ120" s="146"/>
      <c r="HA120" s="146"/>
      <c r="HB120" s="146"/>
      <c r="HC120" s="146"/>
      <c r="HD120" s="146"/>
      <c r="HE120" s="146"/>
      <c r="HF120" s="146"/>
      <c r="HG120" s="146"/>
      <c r="HH120" s="146"/>
      <c r="HI120" s="146"/>
      <c r="HJ120" s="146"/>
      <c r="HK120" s="146"/>
      <c r="HL120" s="146"/>
      <c r="HM120" s="146"/>
      <c r="HN120" s="146"/>
      <c r="HO120" s="146"/>
      <c r="HP120" s="146"/>
      <c r="HQ120" s="146"/>
      <c r="HR120" s="146"/>
      <c r="HS120" s="146"/>
      <c r="HT120" s="146"/>
      <c r="HU120" s="146"/>
      <c r="HV120" s="146"/>
      <c r="HW120" s="146"/>
      <c r="HX120" s="146"/>
      <c r="HY120" s="146"/>
      <c r="HZ120" s="146"/>
      <c r="IA120" s="146"/>
    </row>
    <row r="121" spans="1:235" s="153" customFormat="1" ht="57" x14ac:dyDescent="0.25">
      <c r="A121" s="197">
        <v>11900</v>
      </c>
      <c r="B121" s="194" t="s">
        <v>349</v>
      </c>
      <c r="C121" s="198" t="s">
        <v>350</v>
      </c>
      <c r="D121" s="194" t="s">
        <v>153</v>
      </c>
      <c r="E121" s="198" t="s">
        <v>352</v>
      </c>
      <c r="F121" s="194" t="s">
        <v>763</v>
      </c>
      <c r="G121" s="209" t="s">
        <v>124</v>
      </c>
      <c r="H121" s="198">
        <v>4</v>
      </c>
      <c r="I121" s="198" t="s">
        <v>544</v>
      </c>
      <c r="J121" s="194" t="s">
        <v>685</v>
      </c>
      <c r="K121" s="210">
        <v>0</v>
      </c>
      <c r="L121" s="211">
        <v>1</v>
      </c>
      <c r="M121" s="194" t="s">
        <v>51</v>
      </c>
      <c r="N121" s="194" t="s">
        <v>68</v>
      </c>
      <c r="O121" s="194" t="s">
        <v>21</v>
      </c>
      <c r="P121" s="194" t="s">
        <v>36</v>
      </c>
      <c r="Q121" s="194" t="s">
        <v>75</v>
      </c>
      <c r="R121" s="194" t="s">
        <v>631</v>
      </c>
      <c r="S121" s="194" t="s">
        <v>98</v>
      </c>
      <c r="T121" s="221">
        <v>4</v>
      </c>
      <c r="U121" s="212" t="str">
        <f t="shared" si="43"/>
        <v xml:space="preserve">
Reportar  trimestralmente el cumplimiento del Plan de Acción de la Dependencia</v>
      </c>
      <c r="V121" s="213">
        <f t="shared" si="43"/>
        <v>0</v>
      </c>
      <c r="W121" s="214" t="s">
        <v>117</v>
      </c>
      <c r="X121" s="215">
        <v>1</v>
      </c>
      <c r="Y121" s="214" t="s">
        <v>685</v>
      </c>
      <c r="Z121" s="210">
        <v>0</v>
      </c>
      <c r="AA121" s="196"/>
      <c r="AB121" s="196"/>
      <c r="AC121" s="204">
        <f t="shared" si="44"/>
        <v>0</v>
      </c>
      <c r="AD121" s="204" t="e">
        <f t="shared" si="45"/>
        <v>#DIV/0!</v>
      </c>
      <c r="AE121" s="204">
        <f t="shared" si="31"/>
        <v>0</v>
      </c>
      <c r="AF121" s="204" t="e">
        <f t="shared" si="32"/>
        <v>#DIV/0!</v>
      </c>
      <c r="AG121" s="216">
        <v>1</v>
      </c>
      <c r="AH121" s="214" t="s">
        <v>685</v>
      </c>
      <c r="AI121" s="210">
        <v>0</v>
      </c>
      <c r="AJ121" s="196"/>
      <c r="AK121" s="196"/>
      <c r="AL121" s="204">
        <f t="shared" si="46"/>
        <v>0</v>
      </c>
      <c r="AM121" s="204" t="e">
        <f t="shared" si="33"/>
        <v>#DIV/0!</v>
      </c>
      <c r="AN121" s="204">
        <f t="shared" si="34"/>
        <v>0</v>
      </c>
      <c r="AO121" s="204" t="e">
        <f t="shared" si="35"/>
        <v>#DIV/0!</v>
      </c>
      <c r="AP121" s="216">
        <v>1</v>
      </c>
      <c r="AQ121" s="214" t="s">
        <v>685</v>
      </c>
      <c r="AR121" s="210">
        <v>0</v>
      </c>
      <c r="AS121" s="196"/>
      <c r="AT121" s="196"/>
      <c r="AU121" s="204">
        <f t="shared" si="47"/>
        <v>0</v>
      </c>
      <c r="AV121" s="204" t="e">
        <f t="shared" si="48"/>
        <v>#DIV/0!</v>
      </c>
      <c r="AW121" s="204">
        <f t="shared" si="49"/>
        <v>0</v>
      </c>
      <c r="AX121" s="204" t="e">
        <f t="shared" si="50"/>
        <v>#DIV/0!</v>
      </c>
      <c r="AY121" s="216">
        <v>1</v>
      </c>
      <c r="AZ121" s="214" t="s">
        <v>685</v>
      </c>
      <c r="BA121" s="210">
        <v>0</v>
      </c>
      <c r="BB121" s="196"/>
      <c r="BC121" s="196"/>
      <c r="BD121" s="216">
        <f t="shared" si="51"/>
        <v>0</v>
      </c>
      <c r="BE121" s="216" t="e">
        <f t="shared" si="52"/>
        <v>#DIV/0!</v>
      </c>
      <c r="BF121" s="216">
        <f t="shared" si="53"/>
        <v>0</v>
      </c>
      <c r="BG121" s="216" t="e">
        <f t="shared" si="54"/>
        <v>#DIV/0!</v>
      </c>
      <c r="BH121" s="217">
        <f t="shared" si="36"/>
        <v>0</v>
      </c>
      <c r="BI121" s="217" t="str">
        <f t="shared" si="37"/>
        <v>No Prog ni Ejec</v>
      </c>
      <c r="BJ121" s="217">
        <f t="shared" si="38"/>
        <v>0</v>
      </c>
      <c r="BK121" s="217" t="str">
        <f t="shared" si="39"/>
        <v>No Prog ni Ejec</v>
      </c>
      <c r="BL121" s="217">
        <f t="shared" si="55"/>
        <v>0</v>
      </c>
      <c r="BM121" s="217" t="str">
        <f t="shared" si="56"/>
        <v>No Prog ni Ejec</v>
      </c>
      <c r="BN121" s="217">
        <f t="shared" si="40"/>
        <v>0</v>
      </c>
      <c r="BO121" s="217" t="str">
        <f t="shared" si="41"/>
        <v>No Prog ni Ejec</v>
      </c>
      <c r="BP121" s="206"/>
      <c r="BQ121" s="277">
        <v>5</v>
      </c>
      <c r="BR121" s="218">
        <f t="shared" si="42"/>
        <v>2.3333333333333335</v>
      </c>
      <c r="BS121" s="219" t="str">
        <f t="shared" si="57"/>
        <v xml:space="preserve">
Reportar  trimestralmente el cumplimiento del Plan de Acción de la Dependencia</v>
      </c>
      <c r="BT121" s="195">
        <f t="shared" si="30"/>
        <v>0</v>
      </c>
      <c r="BU121" s="196"/>
      <c r="BV121" s="196"/>
      <c r="BW121" s="196"/>
      <c r="BX121" s="196"/>
      <c r="BY121" s="196"/>
      <c r="BZ121" s="19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CZ121" s="146"/>
      <c r="DA121" s="146"/>
      <c r="DB121" s="146"/>
      <c r="DC121" s="146"/>
      <c r="DD121" s="146"/>
      <c r="DE121" s="146"/>
      <c r="DF121" s="146"/>
      <c r="DG121" s="146"/>
      <c r="DH121" s="146"/>
      <c r="DI121" s="146"/>
      <c r="DJ121" s="146"/>
      <c r="DK121" s="146"/>
      <c r="DL121" s="146"/>
      <c r="DM121" s="146"/>
      <c r="DN121" s="146"/>
      <c r="DO121" s="146"/>
      <c r="DP121" s="146"/>
      <c r="DQ121" s="146"/>
      <c r="DR121" s="146"/>
      <c r="DS121" s="146"/>
      <c r="DT121" s="146"/>
      <c r="DU121" s="146"/>
      <c r="DV121" s="146"/>
      <c r="DW121" s="146"/>
      <c r="DX121" s="146"/>
      <c r="DY121" s="146"/>
      <c r="DZ121" s="146"/>
      <c r="EA121" s="146"/>
      <c r="EB121" s="146"/>
      <c r="EC121" s="146"/>
      <c r="ED121" s="146"/>
      <c r="EE121" s="146"/>
      <c r="EF121" s="146"/>
      <c r="EG121" s="146"/>
      <c r="EH121" s="146"/>
      <c r="EI121" s="146"/>
      <c r="EJ121" s="146"/>
      <c r="EK121" s="146"/>
      <c r="EL121" s="146"/>
      <c r="EM121" s="146"/>
      <c r="EN121" s="146"/>
      <c r="EO121" s="146"/>
      <c r="EP121" s="146"/>
      <c r="EQ121" s="146"/>
      <c r="ER121" s="146"/>
      <c r="ES121" s="146"/>
      <c r="ET121" s="146"/>
      <c r="EU121" s="146"/>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c r="GU121" s="146"/>
      <c r="GV121" s="146"/>
      <c r="GW121" s="146"/>
      <c r="GX121" s="146"/>
      <c r="GY121" s="146"/>
      <c r="GZ121" s="146"/>
      <c r="HA121" s="146"/>
      <c r="HB121" s="146"/>
      <c r="HC121" s="146"/>
      <c r="HD121" s="146"/>
      <c r="HE121" s="146"/>
      <c r="HF121" s="146"/>
      <c r="HG121" s="146"/>
      <c r="HH121" s="146"/>
      <c r="HI121" s="146"/>
      <c r="HJ121" s="146"/>
      <c r="HK121" s="146"/>
      <c r="HL121" s="146"/>
      <c r="HM121" s="146"/>
      <c r="HN121" s="146"/>
      <c r="HO121" s="146"/>
      <c r="HP121" s="146"/>
      <c r="HQ121" s="146"/>
      <c r="HR121" s="146"/>
      <c r="HS121" s="146"/>
      <c r="HT121" s="146"/>
      <c r="HU121" s="146"/>
      <c r="HV121" s="146"/>
      <c r="HW121" s="146"/>
      <c r="HX121" s="146"/>
      <c r="HY121" s="146"/>
      <c r="HZ121" s="146"/>
      <c r="IA121" s="146"/>
    </row>
    <row r="122" spans="1:235" s="153" customFormat="1" ht="99.75" x14ac:dyDescent="0.25">
      <c r="A122" s="197">
        <v>11900</v>
      </c>
      <c r="B122" s="194" t="s">
        <v>349</v>
      </c>
      <c r="C122" s="198" t="s">
        <v>351</v>
      </c>
      <c r="D122" s="194" t="s">
        <v>256</v>
      </c>
      <c r="E122" s="198" t="s">
        <v>353</v>
      </c>
      <c r="F122" s="194" t="s">
        <v>686</v>
      </c>
      <c r="G122" s="209" t="s">
        <v>123</v>
      </c>
      <c r="H122" s="216">
        <v>1</v>
      </c>
      <c r="I122" s="198" t="s">
        <v>545</v>
      </c>
      <c r="J122" s="194" t="s">
        <v>598</v>
      </c>
      <c r="K122" s="210">
        <v>0</v>
      </c>
      <c r="L122" s="211">
        <v>1</v>
      </c>
      <c r="M122" s="194" t="s">
        <v>51</v>
      </c>
      <c r="N122" s="194" t="s">
        <v>68</v>
      </c>
      <c r="O122" s="194" t="s">
        <v>21</v>
      </c>
      <c r="P122" s="194" t="s">
        <v>36</v>
      </c>
      <c r="Q122" s="194" t="s">
        <v>75</v>
      </c>
      <c r="R122" s="194" t="s">
        <v>672</v>
      </c>
      <c r="S122" s="194" t="s">
        <v>98</v>
      </c>
      <c r="T122" s="211">
        <v>1</v>
      </c>
      <c r="U122" s="212" t="str">
        <f t="shared" si="43"/>
        <v>Formular los procesos y procedimientos en el marco del MIPG</v>
      </c>
      <c r="V122" s="213">
        <f t="shared" si="43"/>
        <v>0</v>
      </c>
      <c r="W122" s="214" t="s">
        <v>117</v>
      </c>
      <c r="X122" s="216">
        <v>0.25</v>
      </c>
      <c r="Y122" s="214" t="s">
        <v>653</v>
      </c>
      <c r="Z122" s="210">
        <v>0</v>
      </c>
      <c r="AA122" s="196"/>
      <c r="AB122" s="196"/>
      <c r="AC122" s="204">
        <f t="shared" si="44"/>
        <v>0</v>
      </c>
      <c r="AD122" s="204" t="e">
        <f t="shared" si="45"/>
        <v>#DIV/0!</v>
      </c>
      <c r="AE122" s="204">
        <f t="shared" si="31"/>
        <v>0</v>
      </c>
      <c r="AF122" s="204" t="e">
        <f t="shared" si="32"/>
        <v>#DIV/0!</v>
      </c>
      <c r="AG122" s="216">
        <v>0.25</v>
      </c>
      <c r="AH122" s="214" t="s">
        <v>653</v>
      </c>
      <c r="AI122" s="210">
        <v>0</v>
      </c>
      <c r="AJ122" s="196"/>
      <c r="AK122" s="196"/>
      <c r="AL122" s="204">
        <f t="shared" si="46"/>
        <v>0</v>
      </c>
      <c r="AM122" s="204" t="e">
        <f t="shared" si="33"/>
        <v>#DIV/0!</v>
      </c>
      <c r="AN122" s="204">
        <f t="shared" si="34"/>
        <v>0</v>
      </c>
      <c r="AO122" s="204" t="e">
        <f t="shared" si="35"/>
        <v>#DIV/0!</v>
      </c>
      <c r="AP122" s="216">
        <v>0.25</v>
      </c>
      <c r="AQ122" s="214" t="s">
        <v>653</v>
      </c>
      <c r="AR122" s="210">
        <v>0</v>
      </c>
      <c r="AS122" s="196"/>
      <c r="AT122" s="196"/>
      <c r="AU122" s="204">
        <f t="shared" si="47"/>
        <v>0</v>
      </c>
      <c r="AV122" s="204" t="e">
        <f t="shared" si="48"/>
        <v>#DIV/0!</v>
      </c>
      <c r="AW122" s="204">
        <f t="shared" si="49"/>
        <v>0</v>
      </c>
      <c r="AX122" s="204" t="e">
        <f t="shared" si="50"/>
        <v>#DIV/0!</v>
      </c>
      <c r="AY122" s="216">
        <v>0.25</v>
      </c>
      <c r="AZ122" s="214" t="s">
        <v>653</v>
      </c>
      <c r="BA122" s="210">
        <v>0</v>
      </c>
      <c r="BB122" s="196"/>
      <c r="BC122" s="196"/>
      <c r="BD122" s="216">
        <f t="shared" si="51"/>
        <v>0</v>
      </c>
      <c r="BE122" s="216" t="e">
        <f t="shared" si="52"/>
        <v>#DIV/0!</v>
      </c>
      <c r="BF122" s="216">
        <f t="shared" si="53"/>
        <v>0</v>
      </c>
      <c r="BG122" s="216" t="e">
        <f t="shared" si="54"/>
        <v>#DIV/0!</v>
      </c>
      <c r="BH122" s="217">
        <f t="shared" si="36"/>
        <v>0</v>
      </c>
      <c r="BI122" s="217" t="str">
        <f t="shared" si="37"/>
        <v>No Prog ni Ejec</v>
      </c>
      <c r="BJ122" s="217">
        <f t="shared" si="38"/>
        <v>0</v>
      </c>
      <c r="BK122" s="217" t="str">
        <f t="shared" si="39"/>
        <v>No Prog ni Ejec</v>
      </c>
      <c r="BL122" s="217">
        <f t="shared" si="55"/>
        <v>0</v>
      </c>
      <c r="BM122" s="217" t="str">
        <f t="shared" si="56"/>
        <v>No Prog ni Ejec</v>
      </c>
      <c r="BN122" s="217">
        <f t="shared" si="40"/>
        <v>0</v>
      </c>
      <c r="BO122" s="217" t="str">
        <f t="shared" si="41"/>
        <v>No Prog ni Ejec</v>
      </c>
      <c r="BP122" s="206"/>
      <c r="BQ122" s="277">
        <v>5</v>
      </c>
      <c r="BR122" s="208">
        <f t="shared" si="42"/>
        <v>0.58333333333333337</v>
      </c>
      <c r="BS122" s="219" t="str">
        <f t="shared" si="57"/>
        <v>Formular los procesos y procedimientos en el marco del MIPG</v>
      </c>
      <c r="BT122" s="195">
        <f t="shared" si="30"/>
        <v>0</v>
      </c>
      <c r="BU122" s="196"/>
      <c r="BV122" s="196"/>
      <c r="BW122" s="196"/>
      <c r="BX122" s="196"/>
      <c r="BY122" s="196"/>
      <c r="BZ122" s="19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CZ122" s="146"/>
      <c r="DA122" s="146"/>
      <c r="DB122" s="146"/>
      <c r="DC122" s="146"/>
      <c r="DD122" s="146"/>
      <c r="DE122" s="146"/>
      <c r="DF122" s="146"/>
      <c r="DG122" s="146"/>
      <c r="DH122" s="146"/>
      <c r="DI122" s="146"/>
      <c r="DJ122" s="146"/>
      <c r="DK122" s="146"/>
      <c r="DL122" s="146"/>
      <c r="DM122" s="146"/>
      <c r="DN122" s="146"/>
      <c r="DO122" s="146"/>
      <c r="DP122" s="146"/>
      <c r="DQ122" s="146"/>
      <c r="DR122" s="146"/>
      <c r="DS122" s="146"/>
      <c r="DT122" s="146"/>
      <c r="DU122" s="146"/>
      <c r="DV122" s="146"/>
      <c r="DW122" s="146"/>
      <c r="DX122" s="146"/>
      <c r="DY122" s="146"/>
      <c r="DZ122" s="146"/>
      <c r="EA122" s="146"/>
      <c r="EB122" s="146"/>
      <c r="EC122" s="146"/>
      <c r="ED122" s="146"/>
      <c r="EE122" s="146"/>
      <c r="EF122" s="146"/>
      <c r="EG122" s="146"/>
      <c r="EH122" s="146"/>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c r="GU122" s="146"/>
      <c r="GV122" s="146"/>
      <c r="GW122" s="146"/>
      <c r="GX122" s="146"/>
      <c r="GY122" s="146"/>
      <c r="GZ122" s="146"/>
      <c r="HA122" s="146"/>
      <c r="HB122" s="146"/>
      <c r="HC122" s="146"/>
      <c r="HD122" s="146"/>
      <c r="HE122" s="146"/>
      <c r="HF122" s="146"/>
      <c r="HG122" s="146"/>
      <c r="HH122" s="146"/>
      <c r="HI122" s="146"/>
      <c r="HJ122" s="146"/>
      <c r="HK122" s="146"/>
      <c r="HL122" s="146"/>
      <c r="HM122" s="146"/>
      <c r="HN122" s="146"/>
      <c r="HO122" s="146"/>
      <c r="HP122" s="146"/>
      <c r="HQ122" s="146"/>
      <c r="HR122" s="146"/>
      <c r="HS122" s="146"/>
      <c r="HT122" s="146"/>
      <c r="HU122" s="146"/>
      <c r="HV122" s="146"/>
      <c r="HW122" s="146"/>
      <c r="HX122" s="146"/>
      <c r="HY122" s="146"/>
      <c r="HZ122" s="146"/>
      <c r="IA122" s="146"/>
    </row>
    <row r="123" spans="1:235" s="153" customFormat="1" ht="99.75" x14ac:dyDescent="0.25">
      <c r="A123" s="197">
        <v>11900</v>
      </c>
      <c r="B123" s="194" t="s">
        <v>349</v>
      </c>
      <c r="C123" s="198" t="s">
        <v>351</v>
      </c>
      <c r="D123" s="194" t="s">
        <v>256</v>
      </c>
      <c r="E123" s="198" t="s">
        <v>354</v>
      </c>
      <c r="F123" s="194" t="s">
        <v>687</v>
      </c>
      <c r="G123" s="209" t="s">
        <v>124</v>
      </c>
      <c r="H123" s="198">
        <v>4</v>
      </c>
      <c r="I123" s="198" t="s">
        <v>560</v>
      </c>
      <c r="J123" s="194" t="s">
        <v>688</v>
      </c>
      <c r="K123" s="210">
        <v>0</v>
      </c>
      <c r="L123" s="211">
        <v>1</v>
      </c>
      <c r="M123" s="194" t="s">
        <v>51</v>
      </c>
      <c r="N123" s="194" t="s">
        <v>68</v>
      </c>
      <c r="O123" s="194" t="s">
        <v>21</v>
      </c>
      <c r="P123" s="194" t="s">
        <v>36</v>
      </c>
      <c r="Q123" s="194" t="s">
        <v>75</v>
      </c>
      <c r="R123" s="194" t="s">
        <v>570</v>
      </c>
      <c r="S123" s="194" t="s">
        <v>98</v>
      </c>
      <c r="T123" s="198">
        <v>4</v>
      </c>
      <c r="U123" s="212" t="str">
        <f t="shared" si="43"/>
        <v>Evaluar la gestión y resultados de los procesos de calidad de la Dependencia y remitir informes trimestrales de los indicadores formulados y las acciones de mejoras</v>
      </c>
      <c r="V123" s="213">
        <f t="shared" si="43"/>
        <v>0</v>
      </c>
      <c r="W123" s="214" t="s">
        <v>117</v>
      </c>
      <c r="X123" s="215">
        <v>1</v>
      </c>
      <c r="Y123" s="214" t="s">
        <v>688</v>
      </c>
      <c r="Z123" s="210">
        <v>0</v>
      </c>
      <c r="AA123" s="196"/>
      <c r="AB123" s="196"/>
      <c r="AC123" s="204">
        <f t="shared" si="44"/>
        <v>0</v>
      </c>
      <c r="AD123" s="204" t="e">
        <f t="shared" si="45"/>
        <v>#DIV/0!</v>
      </c>
      <c r="AE123" s="204">
        <f t="shared" si="31"/>
        <v>0</v>
      </c>
      <c r="AF123" s="204" t="e">
        <f t="shared" si="32"/>
        <v>#DIV/0!</v>
      </c>
      <c r="AG123" s="215">
        <v>1</v>
      </c>
      <c r="AH123" s="214" t="s">
        <v>688</v>
      </c>
      <c r="AI123" s="210">
        <v>0</v>
      </c>
      <c r="AJ123" s="196"/>
      <c r="AK123" s="196"/>
      <c r="AL123" s="204">
        <f t="shared" si="46"/>
        <v>0</v>
      </c>
      <c r="AM123" s="204" t="e">
        <f t="shared" si="33"/>
        <v>#DIV/0!</v>
      </c>
      <c r="AN123" s="204">
        <f t="shared" si="34"/>
        <v>0</v>
      </c>
      <c r="AO123" s="204" t="e">
        <f t="shared" si="35"/>
        <v>#DIV/0!</v>
      </c>
      <c r="AP123" s="215">
        <v>1</v>
      </c>
      <c r="AQ123" s="214" t="s">
        <v>688</v>
      </c>
      <c r="AR123" s="210">
        <v>0</v>
      </c>
      <c r="AS123" s="196"/>
      <c r="AT123" s="196"/>
      <c r="AU123" s="204">
        <f t="shared" si="47"/>
        <v>0</v>
      </c>
      <c r="AV123" s="204" t="e">
        <f t="shared" si="48"/>
        <v>#DIV/0!</v>
      </c>
      <c r="AW123" s="204">
        <f t="shared" si="49"/>
        <v>0</v>
      </c>
      <c r="AX123" s="204" t="e">
        <f t="shared" si="50"/>
        <v>#DIV/0!</v>
      </c>
      <c r="AY123" s="215">
        <v>1</v>
      </c>
      <c r="AZ123" s="247" t="s">
        <v>688</v>
      </c>
      <c r="BA123" s="210">
        <v>0</v>
      </c>
      <c r="BB123" s="196"/>
      <c r="BC123" s="196"/>
      <c r="BD123" s="216">
        <f t="shared" si="51"/>
        <v>0</v>
      </c>
      <c r="BE123" s="216" t="e">
        <f t="shared" si="52"/>
        <v>#DIV/0!</v>
      </c>
      <c r="BF123" s="216">
        <f t="shared" si="53"/>
        <v>0</v>
      </c>
      <c r="BG123" s="216" t="e">
        <f t="shared" si="54"/>
        <v>#DIV/0!</v>
      </c>
      <c r="BH123" s="217">
        <f t="shared" si="36"/>
        <v>0</v>
      </c>
      <c r="BI123" s="217" t="str">
        <f t="shared" si="37"/>
        <v>No Prog ni Ejec</v>
      </c>
      <c r="BJ123" s="217">
        <f t="shared" si="38"/>
        <v>0</v>
      </c>
      <c r="BK123" s="217" t="str">
        <f t="shared" si="39"/>
        <v>No Prog ni Ejec</v>
      </c>
      <c r="BL123" s="217">
        <f t="shared" si="55"/>
        <v>0</v>
      </c>
      <c r="BM123" s="217" t="str">
        <f t="shared" si="56"/>
        <v>No Prog ni Ejec</v>
      </c>
      <c r="BN123" s="217">
        <f t="shared" si="40"/>
        <v>0</v>
      </c>
      <c r="BO123" s="217" t="str">
        <f t="shared" si="41"/>
        <v>No Prog ni Ejec</v>
      </c>
      <c r="BP123" s="206"/>
      <c r="BQ123" s="277">
        <v>5</v>
      </c>
      <c r="BR123" s="218">
        <f t="shared" si="42"/>
        <v>2.3333333333333335</v>
      </c>
      <c r="BS123" s="219" t="str">
        <f t="shared" si="57"/>
        <v>Evaluar la gestión y resultados de los procesos de calidad de la Dependencia y remitir informes trimestrales de los indicadores formulados y las acciones de mejoras</v>
      </c>
      <c r="BT123" s="195">
        <f t="shared" si="30"/>
        <v>0</v>
      </c>
      <c r="BU123" s="196"/>
      <c r="BV123" s="196"/>
      <c r="BW123" s="196"/>
      <c r="BX123" s="196"/>
      <c r="BY123" s="196"/>
      <c r="BZ123" s="19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CZ123" s="146"/>
      <c r="DA123" s="146"/>
      <c r="DB123" s="146"/>
      <c r="DC123" s="146"/>
      <c r="DD123" s="146"/>
      <c r="DE123" s="146"/>
      <c r="DF123" s="146"/>
      <c r="DG123" s="146"/>
      <c r="DH123" s="146"/>
      <c r="DI123" s="146"/>
      <c r="DJ123" s="146"/>
      <c r="DK123" s="146"/>
      <c r="DL123" s="146"/>
      <c r="DM123" s="146"/>
      <c r="DN123" s="146"/>
      <c r="DO123" s="146"/>
      <c r="DP123" s="146"/>
      <c r="DQ123" s="146"/>
      <c r="DR123" s="146"/>
      <c r="DS123" s="146"/>
      <c r="DT123" s="146"/>
      <c r="DU123" s="146"/>
      <c r="DV123" s="146"/>
      <c r="DW123" s="146"/>
      <c r="DX123" s="146"/>
      <c r="DY123" s="146"/>
      <c r="DZ123" s="146"/>
      <c r="EA123" s="146"/>
      <c r="EB123" s="146"/>
      <c r="EC123" s="146"/>
      <c r="ED123" s="146"/>
      <c r="EE123" s="146"/>
      <c r="EF123" s="146"/>
      <c r="EG123" s="146"/>
      <c r="EH123" s="146"/>
      <c r="EI123" s="146"/>
      <c r="EJ123" s="146"/>
      <c r="EK123" s="146"/>
      <c r="EL123" s="146"/>
      <c r="EM123" s="146"/>
      <c r="EN123" s="146"/>
      <c r="EO123" s="146"/>
      <c r="EP123" s="146"/>
      <c r="EQ123" s="146"/>
      <c r="ER123" s="146"/>
      <c r="ES123" s="146"/>
      <c r="ET123" s="146"/>
      <c r="EU123" s="146"/>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c r="GU123" s="146"/>
      <c r="GV123" s="146"/>
      <c r="GW123" s="146"/>
      <c r="GX123" s="146"/>
      <c r="GY123" s="146"/>
      <c r="GZ123" s="146"/>
      <c r="HA123" s="146"/>
      <c r="HB123" s="146"/>
      <c r="HC123" s="146"/>
      <c r="HD123" s="146"/>
      <c r="HE123" s="146"/>
      <c r="HF123" s="146"/>
      <c r="HG123" s="146"/>
      <c r="HH123" s="146"/>
      <c r="HI123" s="146"/>
      <c r="HJ123" s="146"/>
      <c r="HK123" s="146"/>
      <c r="HL123" s="146"/>
      <c r="HM123" s="146"/>
      <c r="HN123" s="146"/>
      <c r="HO123" s="146"/>
      <c r="HP123" s="146"/>
      <c r="HQ123" s="146"/>
      <c r="HR123" s="146"/>
      <c r="HS123" s="146"/>
      <c r="HT123" s="146"/>
      <c r="HU123" s="146"/>
      <c r="HV123" s="146"/>
      <c r="HW123" s="146"/>
      <c r="HX123" s="146"/>
      <c r="HY123" s="146"/>
      <c r="HZ123" s="146"/>
      <c r="IA123" s="146"/>
    </row>
    <row r="124" spans="1:235" s="159" customFormat="1" ht="57" x14ac:dyDescent="0.25">
      <c r="A124" s="197">
        <v>11900</v>
      </c>
      <c r="B124" s="194" t="s">
        <v>349</v>
      </c>
      <c r="C124" s="198" t="s">
        <v>357</v>
      </c>
      <c r="D124" s="194" t="s">
        <v>146</v>
      </c>
      <c r="E124" s="198" t="s">
        <v>358</v>
      </c>
      <c r="F124" s="194" t="s">
        <v>767</v>
      </c>
      <c r="G124" s="209" t="s">
        <v>123</v>
      </c>
      <c r="H124" s="216">
        <v>1</v>
      </c>
      <c r="I124" s="198" t="s">
        <v>359</v>
      </c>
      <c r="J124" s="194" t="s">
        <v>690</v>
      </c>
      <c r="K124" s="210">
        <v>254442984</v>
      </c>
      <c r="L124" s="211">
        <v>1</v>
      </c>
      <c r="M124" s="194" t="s">
        <v>46</v>
      </c>
      <c r="N124" s="194" t="s">
        <v>74</v>
      </c>
      <c r="O124" s="194" t="s">
        <v>21</v>
      </c>
      <c r="P124" s="194" t="s">
        <v>36</v>
      </c>
      <c r="Q124" s="194" t="s">
        <v>229</v>
      </c>
      <c r="R124" s="194" t="s">
        <v>360</v>
      </c>
      <c r="S124" s="194" t="s">
        <v>99</v>
      </c>
      <c r="T124" s="211">
        <v>1</v>
      </c>
      <c r="U124" s="212" t="str">
        <f t="shared" si="43"/>
        <v>Atender las solicitudes de informes derivadas de acciones constitucionales y tutelas</v>
      </c>
      <c r="V124" s="213">
        <f t="shared" si="43"/>
        <v>254442984</v>
      </c>
      <c r="W124" s="222" t="s">
        <v>114</v>
      </c>
      <c r="X124" s="281">
        <v>0.25</v>
      </c>
      <c r="Y124" s="282" t="s">
        <v>690</v>
      </c>
      <c r="Z124" s="283">
        <f>+X124*V124</f>
        <v>63610746</v>
      </c>
      <c r="AA124" s="279"/>
      <c r="AB124" s="279"/>
      <c r="AC124" s="280">
        <f t="shared" si="44"/>
        <v>0</v>
      </c>
      <c r="AD124" s="280">
        <f t="shared" si="45"/>
        <v>0</v>
      </c>
      <c r="AE124" s="280">
        <f t="shared" si="31"/>
        <v>0</v>
      </c>
      <c r="AF124" s="280">
        <f t="shared" si="32"/>
        <v>0</v>
      </c>
      <c r="AG124" s="281">
        <v>0.25</v>
      </c>
      <c r="AH124" s="282" t="s">
        <v>690</v>
      </c>
      <c r="AI124" s="283">
        <v>63610746</v>
      </c>
      <c r="AJ124" s="279"/>
      <c r="AK124" s="279"/>
      <c r="AL124" s="280">
        <f t="shared" si="46"/>
        <v>0</v>
      </c>
      <c r="AM124" s="280">
        <f t="shared" si="33"/>
        <v>0</v>
      </c>
      <c r="AN124" s="280">
        <f t="shared" si="34"/>
        <v>0</v>
      </c>
      <c r="AO124" s="280">
        <f t="shared" si="35"/>
        <v>0</v>
      </c>
      <c r="AP124" s="281">
        <v>0.25</v>
      </c>
      <c r="AQ124" s="282" t="s">
        <v>690</v>
      </c>
      <c r="AR124" s="283">
        <v>63610746</v>
      </c>
      <c r="AS124" s="279"/>
      <c r="AT124" s="279"/>
      <c r="AU124" s="280">
        <f t="shared" si="47"/>
        <v>0</v>
      </c>
      <c r="AV124" s="280">
        <f t="shared" si="48"/>
        <v>0</v>
      </c>
      <c r="AW124" s="280">
        <f t="shared" si="49"/>
        <v>0</v>
      </c>
      <c r="AX124" s="280">
        <f t="shared" si="50"/>
        <v>0</v>
      </c>
      <c r="AY124" s="281">
        <v>0.25</v>
      </c>
      <c r="AZ124" s="282" t="s">
        <v>690</v>
      </c>
      <c r="BA124" s="283">
        <v>63610746</v>
      </c>
      <c r="BB124" s="279"/>
      <c r="BC124" s="279"/>
      <c r="BD124" s="281">
        <f t="shared" si="51"/>
        <v>0</v>
      </c>
      <c r="BE124" s="281">
        <f t="shared" si="52"/>
        <v>0</v>
      </c>
      <c r="BF124" s="281">
        <f t="shared" si="53"/>
        <v>0</v>
      </c>
      <c r="BG124" s="281">
        <f t="shared" si="54"/>
        <v>0</v>
      </c>
      <c r="BH124" s="205">
        <f t="shared" si="36"/>
        <v>0</v>
      </c>
      <c r="BI124" s="205">
        <f t="shared" si="37"/>
        <v>0</v>
      </c>
      <c r="BJ124" s="205">
        <f t="shared" si="38"/>
        <v>0</v>
      </c>
      <c r="BK124" s="205">
        <f t="shared" si="39"/>
        <v>0</v>
      </c>
      <c r="BL124" s="205">
        <f t="shared" si="55"/>
        <v>0</v>
      </c>
      <c r="BM124" s="205">
        <f t="shared" si="56"/>
        <v>0</v>
      </c>
      <c r="BN124" s="205">
        <f t="shared" si="40"/>
        <v>0</v>
      </c>
      <c r="BO124" s="205">
        <f t="shared" si="41"/>
        <v>0</v>
      </c>
      <c r="BP124" s="206"/>
      <c r="BQ124" s="277">
        <v>32</v>
      </c>
      <c r="BR124" s="208">
        <f t="shared" si="42"/>
        <v>0.58333333333333337</v>
      </c>
      <c r="BS124" s="219" t="str">
        <f t="shared" si="57"/>
        <v>Atender las solicitudes de informes derivadas de acciones constitucionales y tutelas</v>
      </c>
      <c r="BT124" s="195">
        <f t="shared" si="30"/>
        <v>148425074</v>
      </c>
      <c r="BU124" s="196"/>
      <c r="BV124" s="196"/>
      <c r="BW124" s="196"/>
      <c r="BX124" s="196"/>
      <c r="BY124" s="196"/>
      <c r="BZ124" s="19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c r="HM124" s="146"/>
      <c r="HN124" s="146"/>
      <c r="HO124" s="146"/>
      <c r="HP124" s="146"/>
      <c r="HQ124" s="146"/>
      <c r="HR124" s="146"/>
      <c r="HS124" s="146"/>
      <c r="HT124" s="146"/>
      <c r="HU124" s="146"/>
      <c r="HV124" s="146"/>
      <c r="HW124" s="146"/>
      <c r="HX124" s="146"/>
      <c r="HY124" s="146"/>
      <c r="HZ124" s="146"/>
      <c r="IA124" s="146"/>
    </row>
    <row r="125" spans="1:235" s="155" customFormat="1" ht="57" x14ac:dyDescent="0.25">
      <c r="A125" s="197">
        <v>11900</v>
      </c>
      <c r="B125" s="194" t="s">
        <v>349</v>
      </c>
      <c r="C125" s="198" t="s">
        <v>357</v>
      </c>
      <c r="D125" s="194" t="s">
        <v>146</v>
      </c>
      <c r="E125" s="198" t="s">
        <v>361</v>
      </c>
      <c r="F125" s="194" t="s">
        <v>436</v>
      </c>
      <c r="G125" s="209" t="s">
        <v>123</v>
      </c>
      <c r="H125" s="216">
        <v>1</v>
      </c>
      <c r="I125" s="198" t="s">
        <v>458</v>
      </c>
      <c r="J125" s="194" t="s">
        <v>362</v>
      </c>
      <c r="K125" s="973">
        <v>768132904</v>
      </c>
      <c r="L125" s="974">
        <v>1</v>
      </c>
      <c r="M125" s="194" t="s">
        <v>46</v>
      </c>
      <c r="N125" s="194" t="s">
        <v>74</v>
      </c>
      <c r="O125" s="194" t="s">
        <v>21</v>
      </c>
      <c r="P125" s="194" t="s">
        <v>36</v>
      </c>
      <c r="Q125" s="194" t="s">
        <v>229</v>
      </c>
      <c r="R125" s="194" t="s">
        <v>437</v>
      </c>
      <c r="S125" s="194" t="s">
        <v>99</v>
      </c>
      <c r="T125" s="211">
        <v>1</v>
      </c>
      <c r="U125" s="212" t="str">
        <f t="shared" si="43"/>
        <v>Ejercer la defensa extrajudicial y judicial en los asuntos y/o procesos judiciales en que la ADRES es parte o vinculado.</v>
      </c>
      <c r="V125" s="213">
        <f t="shared" si="43"/>
        <v>768132904</v>
      </c>
      <c r="W125" s="222" t="s">
        <v>114</v>
      </c>
      <c r="X125" s="216">
        <v>0.25</v>
      </c>
      <c r="Y125" s="214" t="s">
        <v>362</v>
      </c>
      <c r="Z125" s="210">
        <f>+V125*X125</f>
        <v>192033226</v>
      </c>
      <c r="AA125" s="196"/>
      <c r="AB125" s="196"/>
      <c r="AC125" s="204">
        <f t="shared" si="44"/>
        <v>0</v>
      </c>
      <c r="AD125" s="204">
        <f t="shared" si="45"/>
        <v>0</v>
      </c>
      <c r="AE125" s="204">
        <f t="shared" si="31"/>
        <v>0</v>
      </c>
      <c r="AF125" s="204">
        <f t="shared" si="32"/>
        <v>0</v>
      </c>
      <c r="AG125" s="216">
        <v>0.25</v>
      </c>
      <c r="AH125" s="214" t="s">
        <v>362</v>
      </c>
      <c r="AI125" s="210">
        <v>192033226</v>
      </c>
      <c r="AJ125" s="196"/>
      <c r="AK125" s="196"/>
      <c r="AL125" s="204">
        <f t="shared" si="46"/>
        <v>0</v>
      </c>
      <c r="AM125" s="204">
        <f t="shared" si="33"/>
        <v>0</v>
      </c>
      <c r="AN125" s="204">
        <f t="shared" si="34"/>
        <v>0</v>
      </c>
      <c r="AO125" s="204">
        <f t="shared" si="35"/>
        <v>0</v>
      </c>
      <c r="AP125" s="216">
        <v>0.25</v>
      </c>
      <c r="AQ125" s="214" t="s">
        <v>362</v>
      </c>
      <c r="AR125" s="210">
        <v>192033226</v>
      </c>
      <c r="AS125" s="196"/>
      <c r="AT125" s="196"/>
      <c r="AU125" s="204">
        <f t="shared" si="47"/>
        <v>0</v>
      </c>
      <c r="AV125" s="204">
        <f t="shared" si="48"/>
        <v>0</v>
      </c>
      <c r="AW125" s="204">
        <f t="shared" si="49"/>
        <v>0</v>
      </c>
      <c r="AX125" s="204">
        <f t="shared" si="50"/>
        <v>0</v>
      </c>
      <c r="AY125" s="216">
        <v>0.25</v>
      </c>
      <c r="AZ125" s="214" t="s">
        <v>362</v>
      </c>
      <c r="BA125" s="210">
        <v>192033226</v>
      </c>
      <c r="BB125" s="196"/>
      <c r="BC125" s="196"/>
      <c r="BD125" s="216">
        <f t="shared" si="51"/>
        <v>0</v>
      </c>
      <c r="BE125" s="216">
        <f t="shared" si="52"/>
        <v>0</v>
      </c>
      <c r="BF125" s="216">
        <f t="shared" si="53"/>
        <v>0</v>
      </c>
      <c r="BG125" s="216">
        <f t="shared" si="54"/>
        <v>0</v>
      </c>
      <c r="BH125" s="228">
        <f t="shared" si="36"/>
        <v>0</v>
      </c>
      <c r="BI125" s="228">
        <f t="shared" si="37"/>
        <v>0</v>
      </c>
      <c r="BJ125" s="228">
        <f t="shared" si="38"/>
        <v>0</v>
      </c>
      <c r="BK125" s="228">
        <f t="shared" si="39"/>
        <v>0</v>
      </c>
      <c r="BL125" s="228">
        <f t="shared" si="55"/>
        <v>0</v>
      </c>
      <c r="BM125" s="228">
        <f t="shared" si="56"/>
        <v>0</v>
      </c>
      <c r="BN125" s="228">
        <f t="shared" si="40"/>
        <v>0</v>
      </c>
      <c r="BO125" s="228">
        <f t="shared" si="41"/>
        <v>0</v>
      </c>
      <c r="BP125" s="206"/>
      <c r="BQ125" s="277">
        <v>32</v>
      </c>
      <c r="BR125" s="208">
        <f t="shared" si="42"/>
        <v>0.58333333333333337</v>
      </c>
      <c r="BS125" s="219" t="str">
        <f t="shared" si="57"/>
        <v>Ejercer la defensa extrajudicial y judicial en los asuntos y/o procesos judiciales en que la ADRES es parte o vinculado.</v>
      </c>
      <c r="BT125" s="195">
        <f t="shared" si="30"/>
        <v>448077527.33333331</v>
      </c>
      <c r="BU125" s="196"/>
      <c r="BV125" s="196"/>
      <c r="BW125" s="196"/>
      <c r="BX125" s="196"/>
      <c r="BY125" s="196"/>
      <c r="BZ125" s="19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CZ125" s="146"/>
      <c r="DA125" s="146"/>
      <c r="DB125" s="146"/>
      <c r="DC125" s="146"/>
      <c r="DD125" s="146"/>
      <c r="DE125" s="146"/>
      <c r="DF125" s="146"/>
      <c r="DG125" s="146"/>
      <c r="DH125" s="146"/>
      <c r="DI125" s="146"/>
      <c r="DJ125" s="146"/>
      <c r="DK125" s="146"/>
      <c r="DL125" s="146"/>
      <c r="DM125" s="146"/>
      <c r="DN125" s="146"/>
      <c r="DO125" s="146"/>
      <c r="DP125" s="146"/>
      <c r="DQ125" s="146"/>
      <c r="DR125" s="146"/>
      <c r="DS125" s="146"/>
      <c r="DT125" s="146"/>
      <c r="DU125" s="146"/>
      <c r="DV125" s="146"/>
      <c r="DW125" s="146"/>
      <c r="DX125" s="146"/>
      <c r="DY125" s="146"/>
      <c r="DZ125" s="146"/>
      <c r="EA125" s="146"/>
      <c r="EB125" s="146"/>
      <c r="EC125" s="146"/>
      <c r="ED125" s="146"/>
      <c r="EE125" s="146"/>
      <c r="EF125" s="146"/>
      <c r="EG125" s="146"/>
      <c r="EH125" s="146"/>
      <c r="EI125" s="146"/>
      <c r="EJ125" s="146"/>
      <c r="EK125" s="146"/>
      <c r="EL125" s="146"/>
      <c r="EM125" s="146"/>
      <c r="EN125" s="146"/>
      <c r="EO125" s="146"/>
      <c r="EP125" s="146"/>
      <c r="EQ125" s="146"/>
      <c r="ER125" s="146"/>
      <c r="ES125" s="146"/>
      <c r="ET125" s="146"/>
      <c r="EU125" s="146"/>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c r="GU125" s="146"/>
      <c r="GV125" s="146"/>
      <c r="GW125" s="146"/>
      <c r="GX125" s="146"/>
      <c r="GY125" s="146"/>
      <c r="GZ125" s="146"/>
      <c r="HA125" s="146"/>
      <c r="HB125" s="146"/>
      <c r="HC125" s="146"/>
      <c r="HD125" s="146"/>
      <c r="HE125" s="146"/>
      <c r="HF125" s="146"/>
      <c r="HG125" s="146"/>
      <c r="HH125" s="146"/>
      <c r="HI125" s="146"/>
      <c r="HJ125" s="146"/>
      <c r="HK125" s="146"/>
      <c r="HL125" s="146"/>
      <c r="HM125" s="146"/>
      <c r="HN125" s="146"/>
      <c r="HO125" s="146"/>
      <c r="HP125" s="146"/>
      <c r="HQ125" s="146"/>
      <c r="HR125" s="146"/>
      <c r="HS125" s="146"/>
      <c r="HT125" s="146"/>
      <c r="HU125" s="146"/>
      <c r="HV125" s="146"/>
      <c r="HW125" s="146"/>
      <c r="HX125" s="146"/>
      <c r="HY125" s="146"/>
      <c r="HZ125" s="146"/>
      <c r="IA125" s="146"/>
    </row>
    <row r="126" spans="1:235" s="159" customFormat="1" ht="71.25" x14ac:dyDescent="0.25">
      <c r="A126" s="197">
        <v>11900</v>
      </c>
      <c r="B126" s="194" t="s">
        <v>349</v>
      </c>
      <c r="C126" s="198" t="s">
        <v>357</v>
      </c>
      <c r="D126" s="194" t="s">
        <v>146</v>
      </c>
      <c r="E126" s="198" t="s">
        <v>371</v>
      </c>
      <c r="F126" s="194" t="s">
        <v>366</v>
      </c>
      <c r="G126" s="209" t="s">
        <v>123</v>
      </c>
      <c r="H126" s="216">
        <v>1</v>
      </c>
      <c r="I126" s="198" t="s">
        <v>547</v>
      </c>
      <c r="J126" s="194" t="s">
        <v>362</v>
      </c>
      <c r="K126" s="973"/>
      <c r="L126" s="974"/>
      <c r="M126" s="194" t="s">
        <v>46</v>
      </c>
      <c r="N126" s="194" t="s">
        <v>74</v>
      </c>
      <c r="O126" s="194" t="s">
        <v>21</v>
      </c>
      <c r="P126" s="194" t="s">
        <v>36</v>
      </c>
      <c r="Q126" s="194" t="s">
        <v>229</v>
      </c>
      <c r="R126" s="194" t="s">
        <v>370</v>
      </c>
      <c r="S126" s="194" t="s">
        <v>99</v>
      </c>
      <c r="T126" s="211">
        <v>1</v>
      </c>
      <c r="U126" s="212" t="str">
        <f t="shared" si="43"/>
        <v>Ejercer la defensa extrajudicial y judicial en los asuntos y/o procesos judiciales en que la ADRES es parte o vinculado.</v>
      </c>
      <c r="V126" s="213">
        <f t="shared" si="43"/>
        <v>0</v>
      </c>
      <c r="W126" s="222" t="s">
        <v>114</v>
      </c>
      <c r="X126" s="281">
        <v>0.25</v>
      </c>
      <c r="Y126" s="282" t="s">
        <v>362</v>
      </c>
      <c r="Z126" s="283">
        <v>0</v>
      </c>
      <c r="AA126" s="279"/>
      <c r="AB126" s="279"/>
      <c r="AC126" s="280">
        <f t="shared" si="44"/>
        <v>0</v>
      </c>
      <c r="AD126" s="280" t="e">
        <f t="shared" si="45"/>
        <v>#DIV/0!</v>
      </c>
      <c r="AE126" s="280">
        <f t="shared" si="31"/>
        <v>0</v>
      </c>
      <c r="AF126" s="280" t="e">
        <f t="shared" si="32"/>
        <v>#DIV/0!</v>
      </c>
      <c r="AG126" s="281">
        <v>0.25</v>
      </c>
      <c r="AH126" s="282" t="s">
        <v>362</v>
      </c>
      <c r="AI126" s="283">
        <v>0</v>
      </c>
      <c r="AJ126" s="279"/>
      <c r="AK126" s="279"/>
      <c r="AL126" s="280">
        <f t="shared" si="46"/>
        <v>0</v>
      </c>
      <c r="AM126" s="280" t="e">
        <f t="shared" si="33"/>
        <v>#DIV/0!</v>
      </c>
      <c r="AN126" s="280">
        <f t="shared" si="34"/>
        <v>0</v>
      </c>
      <c r="AO126" s="280" t="e">
        <f t="shared" si="35"/>
        <v>#DIV/0!</v>
      </c>
      <c r="AP126" s="281">
        <v>0.25</v>
      </c>
      <c r="AQ126" s="282" t="s">
        <v>362</v>
      </c>
      <c r="AR126" s="283">
        <v>0</v>
      </c>
      <c r="AS126" s="279"/>
      <c r="AT126" s="279"/>
      <c r="AU126" s="280">
        <f t="shared" si="47"/>
        <v>0</v>
      </c>
      <c r="AV126" s="280" t="e">
        <f t="shared" si="48"/>
        <v>#DIV/0!</v>
      </c>
      <c r="AW126" s="280">
        <f t="shared" si="49"/>
        <v>0</v>
      </c>
      <c r="AX126" s="280" t="e">
        <f t="shared" si="50"/>
        <v>#DIV/0!</v>
      </c>
      <c r="AY126" s="281">
        <v>0.25</v>
      </c>
      <c r="AZ126" s="282" t="s">
        <v>362</v>
      </c>
      <c r="BA126" s="283">
        <v>0</v>
      </c>
      <c r="BB126" s="279"/>
      <c r="BC126" s="279"/>
      <c r="BD126" s="281">
        <f t="shared" si="51"/>
        <v>0</v>
      </c>
      <c r="BE126" s="281" t="e">
        <f t="shared" si="52"/>
        <v>#DIV/0!</v>
      </c>
      <c r="BF126" s="281">
        <f t="shared" si="53"/>
        <v>0</v>
      </c>
      <c r="BG126" s="281" t="e">
        <f t="shared" si="54"/>
        <v>#DIV/0!</v>
      </c>
      <c r="BH126" s="205">
        <f t="shared" si="36"/>
        <v>0</v>
      </c>
      <c r="BI126" s="205" t="str">
        <f t="shared" si="37"/>
        <v>No Prog ni Ejec</v>
      </c>
      <c r="BJ126" s="205">
        <f t="shared" si="38"/>
        <v>0</v>
      </c>
      <c r="BK126" s="205" t="str">
        <f t="shared" si="39"/>
        <v>No Prog ni Ejec</v>
      </c>
      <c r="BL126" s="205">
        <f t="shared" si="55"/>
        <v>0</v>
      </c>
      <c r="BM126" s="205" t="str">
        <f t="shared" si="56"/>
        <v>No Prog ni Ejec</v>
      </c>
      <c r="BN126" s="205">
        <f t="shared" si="40"/>
        <v>0</v>
      </c>
      <c r="BO126" s="205" t="str">
        <f t="shared" si="41"/>
        <v>No Prog ni Ejec</v>
      </c>
      <c r="BP126" s="206"/>
      <c r="BQ126" s="277">
        <v>32</v>
      </c>
      <c r="BR126" s="208">
        <f t="shared" si="42"/>
        <v>0.58333333333333337</v>
      </c>
      <c r="BS126" s="219" t="str">
        <f t="shared" si="57"/>
        <v>Ejercer la defensa extrajudicial y judicial en los asuntos y/o procesos judiciales en que la ADRES es parte o vinculado.</v>
      </c>
      <c r="BT126" s="195">
        <f t="shared" si="30"/>
        <v>0</v>
      </c>
      <c r="BU126" s="196"/>
      <c r="BV126" s="196"/>
      <c r="BW126" s="196"/>
      <c r="BX126" s="196"/>
      <c r="BY126" s="196"/>
      <c r="BZ126" s="19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CZ126" s="146"/>
      <c r="DA126" s="146"/>
      <c r="DB126" s="146"/>
      <c r="DC126" s="146"/>
      <c r="DD126" s="146"/>
      <c r="DE126" s="146"/>
      <c r="DF126" s="146"/>
      <c r="DG126" s="146"/>
      <c r="DH126" s="146"/>
      <c r="DI126" s="146"/>
      <c r="DJ126" s="146"/>
      <c r="DK126" s="146"/>
      <c r="DL126" s="146"/>
      <c r="DM126" s="146"/>
      <c r="DN126" s="146"/>
      <c r="DO126" s="146"/>
      <c r="DP126" s="146"/>
      <c r="DQ126" s="146"/>
      <c r="DR126" s="146"/>
      <c r="DS126" s="146"/>
      <c r="DT126" s="146"/>
      <c r="DU126" s="146"/>
      <c r="DV126" s="146"/>
      <c r="DW126" s="146"/>
      <c r="DX126" s="146"/>
      <c r="DY126" s="146"/>
      <c r="DZ126" s="146"/>
      <c r="EA126" s="146"/>
      <c r="EB126" s="146"/>
      <c r="EC126" s="146"/>
      <c r="ED126" s="146"/>
      <c r="EE126" s="146"/>
      <c r="EF126" s="146"/>
      <c r="EG126" s="146"/>
      <c r="EH126" s="146"/>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c r="GU126" s="146"/>
      <c r="GV126" s="146"/>
      <c r="GW126" s="146"/>
      <c r="GX126" s="146"/>
      <c r="GY126" s="146"/>
      <c r="GZ126" s="146"/>
      <c r="HA126" s="146"/>
      <c r="HB126" s="146"/>
      <c r="HC126" s="146"/>
      <c r="HD126" s="146"/>
      <c r="HE126" s="146"/>
      <c r="HF126" s="146"/>
      <c r="HG126" s="146"/>
      <c r="HH126" s="146"/>
      <c r="HI126" s="146"/>
      <c r="HJ126" s="146"/>
      <c r="HK126" s="146"/>
      <c r="HL126" s="146"/>
      <c r="HM126" s="146"/>
      <c r="HN126" s="146"/>
      <c r="HO126" s="146"/>
      <c r="HP126" s="146"/>
      <c r="HQ126" s="146"/>
      <c r="HR126" s="146"/>
      <c r="HS126" s="146"/>
      <c r="HT126" s="146"/>
      <c r="HU126" s="146"/>
      <c r="HV126" s="146"/>
      <c r="HW126" s="146"/>
      <c r="HX126" s="146"/>
      <c r="HY126" s="146"/>
      <c r="HZ126" s="146"/>
      <c r="IA126" s="146"/>
    </row>
    <row r="127" spans="1:235" s="155" customFormat="1" ht="57" x14ac:dyDescent="0.25">
      <c r="A127" s="197">
        <v>11900</v>
      </c>
      <c r="B127" s="194" t="s">
        <v>349</v>
      </c>
      <c r="C127" s="198" t="s">
        <v>357</v>
      </c>
      <c r="D127" s="194" t="s">
        <v>146</v>
      </c>
      <c r="E127" s="198" t="s">
        <v>372</v>
      </c>
      <c r="F127" s="194" t="s">
        <v>367</v>
      </c>
      <c r="G127" s="209" t="s">
        <v>123</v>
      </c>
      <c r="H127" s="216">
        <v>1</v>
      </c>
      <c r="I127" s="198" t="s">
        <v>459</v>
      </c>
      <c r="J127" s="194" t="s">
        <v>363</v>
      </c>
      <c r="K127" s="973"/>
      <c r="L127" s="974"/>
      <c r="M127" s="194" t="s">
        <v>46</v>
      </c>
      <c r="N127" s="194" t="s">
        <v>74</v>
      </c>
      <c r="O127" s="194" t="s">
        <v>21</v>
      </c>
      <c r="P127" s="194" t="s">
        <v>36</v>
      </c>
      <c r="Q127" s="194" t="s">
        <v>229</v>
      </c>
      <c r="R127" s="194" t="s">
        <v>438</v>
      </c>
      <c r="S127" s="194" t="s">
        <v>99</v>
      </c>
      <c r="T127" s="211">
        <v>1</v>
      </c>
      <c r="U127" s="212" t="str">
        <f t="shared" si="43"/>
        <v>Atender las solicitudes de pruebas de los despachos judiciales o terceros intervinientes en el proceso judicial</v>
      </c>
      <c r="V127" s="213">
        <f t="shared" si="43"/>
        <v>0</v>
      </c>
      <c r="W127" s="222" t="s">
        <v>114</v>
      </c>
      <c r="X127" s="216">
        <v>0.25</v>
      </c>
      <c r="Y127" s="214" t="s">
        <v>363</v>
      </c>
      <c r="Z127" s="210">
        <v>0</v>
      </c>
      <c r="AA127" s="196"/>
      <c r="AB127" s="196"/>
      <c r="AC127" s="204">
        <f t="shared" si="44"/>
        <v>0</v>
      </c>
      <c r="AD127" s="204" t="e">
        <f t="shared" si="45"/>
        <v>#DIV/0!</v>
      </c>
      <c r="AE127" s="204">
        <f t="shared" si="31"/>
        <v>0</v>
      </c>
      <c r="AF127" s="204" t="e">
        <f t="shared" si="32"/>
        <v>#DIV/0!</v>
      </c>
      <c r="AG127" s="216">
        <v>0.25</v>
      </c>
      <c r="AH127" s="214" t="s">
        <v>363</v>
      </c>
      <c r="AI127" s="210">
        <v>0</v>
      </c>
      <c r="AJ127" s="196"/>
      <c r="AK127" s="196"/>
      <c r="AL127" s="204">
        <f t="shared" si="46"/>
        <v>0</v>
      </c>
      <c r="AM127" s="204" t="e">
        <f t="shared" si="33"/>
        <v>#DIV/0!</v>
      </c>
      <c r="AN127" s="204">
        <f t="shared" si="34"/>
        <v>0</v>
      </c>
      <c r="AO127" s="204" t="e">
        <f t="shared" si="35"/>
        <v>#DIV/0!</v>
      </c>
      <c r="AP127" s="216">
        <v>0.25</v>
      </c>
      <c r="AQ127" s="214" t="s">
        <v>363</v>
      </c>
      <c r="AR127" s="210">
        <v>0</v>
      </c>
      <c r="AS127" s="196"/>
      <c r="AT127" s="196"/>
      <c r="AU127" s="204">
        <f t="shared" si="47"/>
        <v>0</v>
      </c>
      <c r="AV127" s="204" t="e">
        <f t="shared" si="48"/>
        <v>#DIV/0!</v>
      </c>
      <c r="AW127" s="204">
        <f t="shared" si="49"/>
        <v>0</v>
      </c>
      <c r="AX127" s="204" t="e">
        <f t="shared" si="50"/>
        <v>#DIV/0!</v>
      </c>
      <c r="AY127" s="216">
        <v>0.25</v>
      </c>
      <c r="AZ127" s="214" t="s">
        <v>363</v>
      </c>
      <c r="BA127" s="210">
        <v>0</v>
      </c>
      <c r="BB127" s="196"/>
      <c r="BC127" s="196"/>
      <c r="BD127" s="216">
        <f t="shared" si="51"/>
        <v>0</v>
      </c>
      <c r="BE127" s="216" t="e">
        <f t="shared" si="52"/>
        <v>#DIV/0!</v>
      </c>
      <c r="BF127" s="216">
        <f t="shared" si="53"/>
        <v>0</v>
      </c>
      <c r="BG127" s="216" t="e">
        <f t="shared" si="54"/>
        <v>#DIV/0!</v>
      </c>
      <c r="BH127" s="228">
        <f t="shared" si="36"/>
        <v>0</v>
      </c>
      <c r="BI127" s="228" t="str">
        <f t="shared" si="37"/>
        <v>No Prog ni Ejec</v>
      </c>
      <c r="BJ127" s="228">
        <f t="shared" si="38"/>
        <v>0</v>
      </c>
      <c r="BK127" s="228" t="str">
        <f t="shared" si="39"/>
        <v>No Prog ni Ejec</v>
      </c>
      <c r="BL127" s="228">
        <f t="shared" si="55"/>
        <v>0</v>
      </c>
      <c r="BM127" s="228" t="str">
        <f t="shared" si="56"/>
        <v>No Prog ni Ejec</v>
      </c>
      <c r="BN127" s="228">
        <f t="shared" si="40"/>
        <v>0</v>
      </c>
      <c r="BO127" s="228" t="str">
        <f t="shared" si="41"/>
        <v>No Prog ni Ejec</v>
      </c>
      <c r="BP127" s="206"/>
      <c r="BQ127" s="277">
        <v>32</v>
      </c>
      <c r="BR127" s="208">
        <f t="shared" si="42"/>
        <v>0.58333333333333337</v>
      </c>
      <c r="BS127" s="219" t="str">
        <f t="shared" si="57"/>
        <v>Atender las solicitudes de pruebas de los despachos judiciales o terceros intervinientes en el proceso judicial</v>
      </c>
      <c r="BT127" s="195">
        <f t="shared" si="30"/>
        <v>0</v>
      </c>
      <c r="BU127" s="196"/>
      <c r="BV127" s="196"/>
      <c r="BW127" s="196"/>
      <c r="BX127" s="196"/>
      <c r="BY127" s="196"/>
      <c r="BZ127" s="196"/>
      <c r="CA127" s="146"/>
      <c r="CB127" s="146"/>
      <c r="CC127" s="146"/>
      <c r="CD127" s="146"/>
      <c r="CE127" s="146"/>
      <c r="CF127" s="146"/>
      <c r="CG127" s="146"/>
      <c r="CH127" s="146"/>
      <c r="CI127" s="146"/>
      <c r="CJ127" s="146"/>
      <c r="CK127" s="146"/>
      <c r="CL127" s="146"/>
      <c r="CM127" s="146"/>
      <c r="CN127" s="146"/>
      <c r="CO127" s="146"/>
      <c r="CP127" s="146"/>
      <c r="CQ127" s="146"/>
      <c r="CR127" s="146"/>
      <c r="CS127" s="146"/>
      <c r="CT127" s="146"/>
      <c r="CU127" s="146"/>
      <c r="CV127" s="146"/>
      <c r="CW127" s="146"/>
      <c r="CX127" s="146"/>
      <c r="CY127" s="146"/>
      <c r="CZ127" s="146"/>
      <c r="DA127" s="146"/>
      <c r="DB127" s="146"/>
      <c r="DC127" s="146"/>
      <c r="DD127" s="146"/>
      <c r="DE127" s="146"/>
      <c r="DF127" s="146"/>
      <c r="DG127" s="146"/>
      <c r="DH127" s="146"/>
      <c r="DI127" s="146"/>
      <c r="DJ127" s="146"/>
      <c r="DK127" s="146"/>
      <c r="DL127" s="146"/>
      <c r="DM127" s="146"/>
      <c r="DN127" s="146"/>
      <c r="DO127" s="146"/>
      <c r="DP127" s="146"/>
      <c r="DQ127" s="146"/>
      <c r="DR127" s="146"/>
      <c r="DS127" s="146"/>
      <c r="DT127" s="146"/>
      <c r="DU127" s="146"/>
      <c r="DV127" s="146"/>
      <c r="DW127" s="146"/>
      <c r="DX127" s="146"/>
      <c r="DY127" s="146"/>
      <c r="DZ127" s="146"/>
      <c r="EA127" s="146"/>
      <c r="EB127" s="146"/>
      <c r="EC127" s="146"/>
      <c r="ED127" s="146"/>
      <c r="EE127" s="146"/>
      <c r="EF127" s="146"/>
      <c r="EG127" s="146"/>
      <c r="EH127" s="146"/>
      <c r="EI127" s="146"/>
      <c r="EJ127" s="146"/>
      <c r="EK127" s="146"/>
      <c r="EL127" s="146"/>
      <c r="EM127" s="146"/>
      <c r="EN127" s="146"/>
      <c r="EO127" s="146"/>
      <c r="EP127" s="146"/>
      <c r="EQ127" s="146"/>
      <c r="ER127" s="146"/>
      <c r="ES127" s="146"/>
      <c r="ET127" s="146"/>
      <c r="EU127" s="146"/>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c r="GU127" s="146"/>
      <c r="GV127" s="146"/>
      <c r="GW127" s="146"/>
      <c r="GX127" s="146"/>
      <c r="GY127" s="146"/>
      <c r="GZ127" s="146"/>
      <c r="HA127" s="146"/>
      <c r="HB127" s="146"/>
      <c r="HC127" s="146"/>
      <c r="HD127" s="146"/>
      <c r="HE127" s="146"/>
      <c r="HF127" s="146"/>
      <c r="HG127" s="146"/>
      <c r="HH127" s="146"/>
      <c r="HI127" s="146"/>
      <c r="HJ127" s="146"/>
      <c r="HK127" s="146"/>
      <c r="HL127" s="146"/>
      <c r="HM127" s="146"/>
      <c r="HN127" s="146"/>
      <c r="HO127" s="146"/>
      <c r="HP127" s="146"/>
      <c r="HQ127" s="146"/>
      <c r="HR127" s="146"/>
      <c r="HS127" s="146"/>
      <c r="HT127" s="146"/>
      <c r="HU127" s="146"/>
      <c r="HV127" s="146"/>
      <c r="HW127" s="146"/>
      <c r="HX127" s="146"/>
      <c r="HY127" s="146"/>
      <c r="HZ127" s="146"/>
      <c r="IA127" s="146"/>
    </row>
    <row r="128" spans="1:235" s="155" customFormat="1" ht="99.75" x14ac:dyDescent="0.25">
      <c r="A128" s="197">
        <v>11900</v>
      </c>
      <c r="B128" s="194" t="s">
        <v>349</v>
      </c>
      <c r="C128" s="198" t="s">
        <v>357</v>
      </c>
      <c r="D128" s="194" t="s">
        <v>146</v>
      </c>
      <c r="E128" s="198" t="s">
        <v>439</v>
      </c>
      <c r="F128" s="194" t="s">
        <v>715</v>
      </c>
      <c r="G128" s="209" t="s">
        <v>123</v>
      </c>
      <c r="H128" s="216">
        <v>1</v>
      </c>
      <c r="I128" s="198" t="s">
        <v>462</v>
      </c>
      <c r="J128" s="194" t="s">
        <v>691</v>
      </c>
      <c r="K128" s="973"/>
      <c r="L128" s="974"/>
      <c r="M128" s="194" t="s">
        <v>46</v>
      </c>
      <c r="N128" s="194" t="s">
        <v>74</v>
      </c>
      <c r="O128" s="194" t="s">
        <v>21</v>
      </c>
      <c r="P128" s="194" t="s">
        <v>36</v>
      </c>
      <c r="Q128" s="194" t="s">
        <v>229</v>
      </c>
      <c r="R128" s="194" t="s">
        <v>442</v>
      </c>
      <c r="S128" s="194" t="s">
        <v>99</v>
      </c>
      <c r="T128" s="211">
        <v>1</v>
      </c>
      <c r="U128" s="212" t="str">
        <f t="shared" si="43"/>
        <v>Fichas técnicas de conciliaciones prejudiciales presentadas a consideración del Comité de Conciliación</v>
      </c>
      <c r="V128" s="213">
        <f t="shared" si="43"/>
        <v>0</v>
      </c>
      <c r="W128" s="222" t="s">
        <v>114</v>
      </c>
      <c r="X128" s="216">
        <v>0.25</v>
      </c>
      <c r="Y128" s="214" t="s">
        <v>691</v>
      </c>
      <c r="Z128" s="210">
        <v>0</v>
      </c>
      <c r="AA128" s="196"/>
      <c r="AB128" s="196"/>
      <c r="AC128" s="204">
        <f t="shared" si="44"/>
        <v>0</v>
      </c>
      <c r="AD128" s="204" t="e">
        <f t="shared" si="45"/>
        <v>#DIV/0!</v>
      </c>
      <c r="AE128" s="204">
        <f t="shared" si="31"/>
        <v>0</v>
      </c>
      <c r="AF128" s="204" t="e">
        <f t="shared" si="32"/>
        <v>#DIV/0!</v>
      </c>
      <c r="AG128" s="216">
        <v>0.25</v>
      </c>
      <c r="AH128" s="214" t="s">
        <v>691</v>
      </c>
      <c r="AI128" s="210">
        <v>0</v>
      </c>
      <c r="AJ128" s="196"/>
      <c r="AK128" s="196"/>
      <c r="AL128" s="204">
        <f t="shared" si="46"/>
        <v>0</v>
      </c>
      <c r="AM128" s="204" t="e">
        <f t="shared" si="33"/>
        <v>#DIV/0!</v>
      </c>
      <c r="AN128" s="204">
        <f t="shared" si="34"/>
        <v>0</v>
      </c>
      <c r="AO128" s="204" t="e">
        <f t="shared" si="35"/>
        <v>#DIV/0!</v>
      </c>
      <c r="AP128" s="216">
        <v>0.25</v>
      </c>
      <c r="AQ128" s="214" t="s">
        <v>691</v>
      </c>
      <c r="AR128" s="210">
        <v>0</v>
      </c>
      <c r="AS128" s="196"/>
      <c r="AT128" s="196"/>
      <c r="AU128" s="204">
        <f t="shared" si="47"/>
        <v>0</v>
      </c>
      <c r="AV128" s="204" t="e">
        <f t="shared" si="48"/>
        <v>#DIV/0!</v>
      </c>
      <c r="AW128" s="204">
        <f t="shared" si="49"/>
        <v>0</v>
      </c>
      <c r="AX128" s="204" t="e">
        <f t="shared" si="50"/>
        <v>#DIV/0!</v>
      </c>
      <c r="AY128" s="216">
        <v>0.25</v>
      </c>
      <c r="AZ128" s="214" t="s">
        <v>691</v>
      </c>
      <c r="BA128" s="210">
        <v>0</v>
      </c>
      <c r="BB128" s="196"/>
      <c r="BC128" s="196"/>
      <c r="BD128" s="216">
        <f t="shared" si="51"/>
        <v>0</v>
      </c>
      <c r="BE128" s="216" t="e">
        <f t="shared" si="52"/>
        <v>#DIV/0!</v>
      </c>
      <c r="BF128" s="216">
        <f t="shared" si="53"/>
        <v>0</v>
      </c>
      <c r="BG128" s="216" t="e">
        <f t="shared" si="54"/>
        <v>#DIV/0!</v>
      </c>
      <c r="BH128" s="228">
        <f t="shared" si="36"/>
        <v>0</v>
      </c>
      <c r="BI128" s="228" t="str">
        <f t="shared" si="37"/>
        <v>No Prog ni Ejec</v>
      </c>
      <c r="BJ128" s="228">
        <f t="shared" si="38"/>
        <v>0</v>
      </c>
      <c r="BK128" s="228" t="str">
        <f t="shared" si="39"/>
        <v>No Prog ni Ejec</v>
      </c>
      <c r="BL128" s="228">
        <f t="shared" si="55"/>
        <v>0</v>
      </c>
      <c r="BM128" s="228" t="str">
        <f t="shared" si="56"/>
        <v>No Prog ni Ejec</v>
      </c>
      <c r="BN128" s="228">
        <f t="shared" si="40"/>
        <v>0</v>
      </c>
      <c r="BO128" s="228" t="str">
        <f t="shared" si="41"/>
        <v>No Prog ni Ejec</v>
      </c>
      <c r="BP128" s="206"/>
      <c r="BQ128" s="277">
        <v>32</v>
      </c>
      <c r="BR128" s="208">
        <f t="shared" si="42"/>
        <v>0.58333333333333337</v>
      </c>
      <c r="BS128" s="219" t="str">
        <f t="shared" si="57"/>
        <v>Fichas técnicas de conciliaciones prejudiciales presentadas a consideración del Comité de Conciliación</v>
      </c>
      <c r="BT128" s="195">
        <f t="shared" si="30"/>
        <v>0</v>
      </c>
      <c r="BU128" s="196"/>
      <c r="BV128" s="196"/>
      <c r="BW128" s="196"/>
      <c r="BX128" s="196"/>
      <c r="BY128" s="196"/>
      <c r="BZ128" s="19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c r="CV128" s="146"/>
      <c r="CW128" s="146"/>
      <c r="CX128" s="146"/>
      <c r="CY128" s="146"/>
      <c r="CZ128" s="146"/>
      <c r="DA128" s="146"/>
      <c r="DB128" s="146"/>
      <c r="DC128" s="146"/>
      <c r="DD128" s="146"/>
      <c r="DE128" s="146"/>
      <c r="DF128" s="146"/>
      <c r="DG128" s="146"/>
      <c r="DH128" s="146"/>
      <c r="DI128" s="146"/>
      <c r="DJ128" s="146"/>
      <c r="DK128" s="146"/>
      <c r="DL128" s="146"/>
      <c r="DM128" s="146"/>
      <c r="DN128" s="146"/>
      <c r="DO128" s="146"/>
      <c r="DP128" s="146"/>
      <c r="DQ128" s="146"/>
      <c r="DR128" s="146"/>
      <c r="DS128" s="146"/>
      <c r="DT128" s="146"/>
      <c r="DU128" s="146"/>
      <c r="DV128" s="146"/>
      <c r="DW128" s="146"/>
      <c r="DX128" s="146"/>
      <c r="DY128" s="146"/>
      <c r="DZ128" s="146"/>
      <c r="EA128" s="146"/>
      <c r="EB128" s="146"/>
      <c r="EC128" s="146"/>
      <c r="ED128" s="146"/>
      <c r="EE128" s="146"/>
      <c r="EF128" s="146"/>
      <c r="EG128" s="146"/>
      <c r="EH128" s="146"/>
      <c r="EI128" s="146"/>
      <c r="EJ128" s="146"/>
      <c r="EK128" s="146"/>
      <c r="EL128" s="146"/>
      <c r="EM128" s="146"/>
      <c r="EN128" s="146"/>
      <c r="EO128" s="146"/>
      <c r="EP128" s="146"/>
      <c r="EQ128" s="146"/>
      <c r="ER128" s="146"/>
      <c r="ES128" s="146"/>
      <c r="ET128" s="146"/>
      <c r="EU128" s="146"/>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c r="GU128" s="146"/>
      <c r="GV128" s="146"/>
      <c r="GW128" s="146"/>
      <c r="GX128" s="146"/>
      <c r="GY128" s="146"/>
      <c r="GZ128" s="146"/>
      <c r="HA128" s="146"/>
      <c r="HB128" s="146"/>
      <c r="HC128" s="146"/>
      <c r="HD128" s="146"/>
      <c r="HE128" s="146"/>
      <c r="HF128" s="146"/>
      <c r="HG128" s="146"/>
      <c r="HH128" s="146"/>
      <c r="HI128" s="146"/>
      <c r="HJ128" s="146"/>
      <c r="HK128" s="146"/>
      <c r="HL128" s="146"/>
      <c r="HM128" s="146"/>
      <c r="HN128" s="146"/>
      <c r="HO128" s="146"/>
      <c r="HP128" s="146"/>
      <c r="HQ128" s="146"/>
      <c r="HR128" s="146"/>
      <c r="HS128" s="146"/>
      <c r="HT128" s="146"/>
      <c r="HU128" s="146"/>
      <c r="HV128" s="146"/>
      <c r="HW128" s="146"/>
      <c r="HX128" s="146"/>
      <c r="HY128" s="146"/>
      <c r="HZ128" s="146"/>
      <c r="IA128" s="146"/>
    </row>
    <row r="129" spans="1:235" s="155" customFormat="1" ht="99.75" x14ac:dyDescent="0.25">
      <c r="A129" s="197">
        <v>11900</v>
      </c>
      <c r="B129" s="194" t="s">
        <v>349</v>
      </c>
      <c r="C129" s="198" t="s">
        <v>357</v>
      </c>
      <c r="D129" s="194" t="s">
        <v>146</v>
      </c>
      <c r="E129" s="198" t="s">
        <v>439</v>
      </c>
      <c r="F129" s="194" t="s">
        <v>715</v>
      </c>
      <c r="G129" s="209" t="s">
        <v>123</v>
      </c>
      <c r="H129" s="216">
        <v>1</v>
      </c>
      <c r="I129" s="198" t="s">
        <v>718</v>
      </c>
      <c r="J129" s="194" t="s">
        <v>444</v>
      </c>
      <c r="K129" s="973"/>
      <c r="L129" s="974"/>
      <c r="M129" s="194" t="s">
        <v>46</v>
      </c>
      <c r="N129" s="194" t="s">
        <v>74</v>
      </c>
      <c r="O129" s="194" t="s">
        <v>21</v>
      </c>
      <c r="P129" s="194" t="s">
        <v>36</v>
      </c>
      <c r="Q129" s="194" t="s">
        <v>229</v>
      </c>
      <c r="R129" s="194" t="s">
        <v>694</v>
      </c>
      <c r="S129" s="194" t="s">
        <v>99</v>
      </c>
      <c r="T129" s="211">
        <v>1</v>
      </c>
      <c r="U129" s="212" t="str">
        <f t="shared" si="43"/>
        <v>Presentación de fichas técnicas de demandas ordinarias laborales  presentadas al Comité de Conciliación</v>
      </c>
      <c r="V129" s="213">
        <f t="shared" si="43"/>
        <v>0</v>
      </c>
      <c r="W129" s="222" t="s">
        <v>114</v>
      </c>
      <c r="X129" s="216">
        <v>0.25</v>
      </c>
      <c r="Y129" s="214" t="s">
        <v>444</v>
      </c>
      <c r="Z129" s="210">
        <v>0</v>
      </c>
      <c r="AA129" s="196"/>
      <c r="AB129" s="196"/>
      <c r="AC129" s="204">
        <f t="shared" si="44"/>
        <v>0</v>
      </c>
      <c r="AD129" s="204" t="e">
        <f t="shared" si="45"/>
        <v>#DIV/0!</v>
      </c>
      <c r="AE129" s="204">
        <f t="shared" si="31"/>
        <v>0</v>
      </c>
      <c r="AF129" s="204" t="e">
        <f t="shared" si="32"/>
        <v>#DIV/0!</v>
      </c>
      <c r="AG129" s="216">
        <v>0.25</v>
      </c>
      <c r="AH129" s="214" t="s">
        <v>444</v>
      </c>
      <c r="AI129" s="210">
        <v>0</v>
      </c>
      <c r="AJ129" s="196"/>
      <c r="AK129" s="196"/>
      <c r="AL129" s="204">
        <f t="shared" si="46"/>
        <v>0</v>
      </c>
      <c r="AM129" s="204" t="e">
        <f t="shared" si="33"/>
        <v>#DIV/0!</v>
      </c>
      <c r="AN129" s="204">
        <f t="shared" si="34"/>
        <v>0</v>
      </c>
      <c r="AO129" s="204" t="e">
        <f t="shared" si="35"/>
        <v>#DIV/0!</v>
      </c>
      <c r="AP129" s="216">
        <v>0.25</v>
      </c>
      <c r="AQ129" s="214" t="s">
        <v>444</v>
      </c>
      <c r="AR129" s="210">
        <v>0</v>
      </c>
      <c r="AS129" s="196"/>
      <c r="AT129" s="196"/>
      <c r="AU129" s="204">
        <f t="shared" si="47"/>
        <v>0</v>
      </c>
      <c r="AV129" s="204" t="e">
        <f t="shared" si="48"/>
        <v>#DIV/0!</v>
      </c>
      <c r="AW129" s="204">
        <f t="shared" si="49"/>
        <v>0</v>
      </c>
      <c r="AX129" s="204" t="e">
        <f t="shared" si="50"/>
        <v>#DIV/0!</v>
      </c>
      <c r="AY129" s="216">
        <v>0.25</v>
      </c>
      <c r="AZ129" s="214" t="s">
        <v>444</v>
      </c>
      <c r="BA129" s="210">
        <v>0</v>
      </c>
      <c r="BB129" s="196"/>
      <c r="BC129" s="196"/>
      <c r="BD129" s="216">
        <f t="shared" si="51"/>
        <v>0</v>
      </c>
      <c r="BE129" s="216" t="e">
        <f t="shared" si="52"/>
        <v>#DIV/0!</v>
      </c>
      <c r="BF129" s="216">
        <f t="shared" si="53"/>
        <v>0</v>
      </c>
      <c r="BG129" s="216" t="e">
        <f t="shared" si="54"/>
        <v>#DIV/0!</v>
      </c>
      <c r="BH129" s="228">
        <f t="shared" si="36"/>
        <v>0</v>
      </c>
      <c r="BI129" s="228" t="str">
        <f t="shared" si="37"/>
        <v>No Prog ni Ejec</v>
      </c>
      <c r="BJ129" s="228">
        <f t="shared" si="38"/>
        <v>0</v>
      </c>
      <c r="BK129" s="228" t="str">
        <f t="shared" si="39"/>
        <v>No Prog ni Ejec</v>
      </c>
      <c r="BL129" s="228">
        <f t="shared" si="55"/>
        <v>0</v>
      </c>
      <c r="BM129" s="228" t="str">
        <f t="shared" si="56"/>
        <v>No Prog ni Ejec</v>
      </c>
      <c r="BN129" s="228">
        <f t="shared" si="40"/>
        <v>0</v>
      </c>
      <c r="BO129" s="228" t="str">
        <f t="shared" si="41"/>
        <v>No Prog ni Ejec</v>
      </c>
      <c r="BP129" s="206"/>
      <c r="BQ129" s="277">
        <v>32</v>
      </c>
      <c r="BR129" s="208">
        <f t="shared" si="42"/>
        <v>0.58333333333333337</v>
      </c>
      <c r="BS129" s="219" t="str">
        <f t="shared" si="57"/>
        <v>Presentación de fichas técnicas de demandas ordinarias laborales  presentadas al Comité de Conciliación</v>
      </c>
      <c r="BT129" s="195">
        <f t="shared" si="30"/>
        <v>0</v>
      </c>
      <c r="BU129" s="196"/>
      <c r="BV129" s="196"/>
      <c r="BW129" s="196"/>
      <c r="BX129" s="196"/>
      <c r="BY129" s="196"/>
      <c r="BZ129" s="19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c r="CV129" s="146"/>
      <c r="CW129" s="146"/>
      <c r="CX129" s="146"/>
      <c r="CY129" s="146"/>
      <c r="CZ129" s="146"/>
      <c r="DA129" s="146"/>
      <c r="DB129" s="146"/>
      <c r="DC129" s="146"/>
      <c r="DD129" s="146"/>
      <c r="DE129" s="146"/>
      <c r="DF129" s="146"/>
      <c r="DG129" s="146"/>
      <c r="DH129" s="146"/>
      <c r="DI129" s="146"/>
      <c r="DJ129" s="146"/>
      <c r="DK129" s="146"/>
      <c r="DL129" s="146"/>
      <c r="DM129" s="146"/>
      <c r="DN129" s="146"/>
      <c r="DO129" s="146"/>
      <c r="DP129" s="146"/>
      <c r="DQ129" s="146"/>
      <c r="DR129" s="146"/>
      <c r="DS129" s="146"/>
      <c r="DT129" s="146"/>
      <c r="DU129" s="146"/>
      <c r="DV129" s="146"/>
      <c r="DW129" s="146"/>
      <c r="DX129" s="146"/>
      <c r="DY129" s="146"/>
      <c r="DZ129" s="146"/>
      <c r="EA129" s="146"/>
      <c r="EB129" s="146"/>
      <c r="EC129" s="146"/>
      <c r="ED129" s="146"/>
      <c r="EE129" s="146"/>
      <c r="EF129" s="146"/>
      <c r="EG129" s="146"/>
      <c r="EH129" s="146"/>
      <c r="EI129" s="146"/>
      <c r="EJ129" s="146"/>
      <c r="EK129" s="146"/>
      <c r="EL129" s="146"/>
      <c r="EM129" s="146"/>
      <c r="EN129" s="146"/>
      <c r="EO129" s="146"/>
      <c r="EP129" s="146"/>
      <c r="EQ129" s="146"/>
      <c r="ER129" s="146"/>
      <c r="ES129" s="146"/>
      <c r="ET129" s="146"/>
      <c r="EU129" s="146"/>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c r="GU129" s="146"/>
      <c r="GV129" s="146"/>
      <c r="GW129" s="146"/>
      <c r="GX129" s="146"/>
      <c r="GY129" s="146"/>
      <c r="GZ129" s="146"/>
      <c r="HA129" s="146"/>
      <c r="HB129" s="146"/>
      <c r="HC129" s="146"/>
      <c r="HD129" s="146"/>
      <c r="HE129" s="146"/>
      <c r="HF129" s="146"/>
      <c r="HG129" s="146"/>
      <c r="HH129" s="146"/>
      <c r="HI129" s="146"/>
      <c r="HJ129" s="146"/>
      <c r="HK129" s="146"/>
      <c r="HL129" s="146"/>
      <c r="HM129" s="146"/>
      <c r="HN129" s="146"/>
      <c r="HO129" s="146"/>
      <c r="HP129" s="146"/>
      <c r="HQ129" s="146"/>
      <c r="HR129" s="146"/>
      <c r="HS129" s="146"/>
      <c r="HT129" s="146"/>
      <c r="HU129" s="146"/>
      <c r="HV129" s="146"/>
      <c r="HW129" s="146"/>
      <c r="HX129" s="146"/>
      <c r="HY129" s="146"/>
      <c r="HZ129" s="146"/>
      <c r="IA129" s="146"/>
    </row>
    <row r="130" spans="1:235" s="159" customFormat="1" ht="114" x14ac:dyDescent="0.25">
      <c r="A130" s="197">
        <v>11900</v>
      </c>
      <c r="B130" s="194" t="s">
        <v>349</v>
      </c>
      <c r="C130" s="198" t="s">
        <v>357</v>
      </c>
      <c r="D130" s="194" t="s">
        <v>146</v>
      </c>
      <c r="E130" s="198" t="s">
        <v>373</v>
      </c>
      <c r="F130" s="194" t="s">
        <v>364</v>
      </c>
      <c r="G130" s="209" t="s">
        <v>123</v>
      </c>
      <c r="H130" s="216">
        <v>1</v>
      </c>
      <c r="I130" s="198" t="s">
        <v>460</v>
      </c>
      <c r="J130" s="194" t="s">
        <v>368</v>
      </c>
      <c r="K130" s="973">
        <v>151084884</v>
      </c>
      <c r="L130" s="974">
        <v>1</v>
      </c>
      <c r="M130" s="194" t="s">
        <v>46</v>
      </c>
      <c r="N130" s="194" t="s">
        <v>74</v>
      </c>
      <c r="O130" s="194" t="s">
        <v>21</v>
      </c>
      <c r="P130" s="194" t="s">
        <v>36</v>
      </c>
      <c r="Q130" s="194" t="s">
        <v>229</v>
      </c>
      <c r="R130" s="194" t="s">
        <v>695</v>
      </c>
      <c r="S130" s="194" t="s">
        <v>99</v>
      </c>
      <c r="T130" s="211">
        <v>1</v>
      </c>
      <c r="U130" s="212" t="str">
        <f t="shared" si="43"/>
        <v>Dar respuesta a las reclamaciones administrativas radicadas por las EPS o IPS dentro del término legal</v>
      </c>
      <c r="V130" s="213">
        <f t="shared" si="43"/>
        <v>151084884</v>
      </c>
      <c r="W130" s="222" t="s">
        <v>114</v>
      </c>
      <c r="X130" s="281">
        <v>0.25</v>
      </c>
      <c r="Y130" s="282" t="s">
        <v>368</v>
      </c>
      <c r="Z130" s="283">
        <f>+X130*V130</f>
        <v>37771221</v>
      </c>
      <c r="AA130" s="279"/>
      <c r="AB130" s="279"/>
      <c r="AC130" s="280">
        <f t="shared" si="44"/>
        <v>0</v>
      </c>
      <c r="AD130" s="280">
        <f t="shared" si="45"/>
        <v>0</v>
      </c>
      <c r="AE130" s="280">
        <f t="shared" si="31"/>
        <v>0</v>
      </c>
      <c r="AF130" s="280">
        <f t="shared" si="32"/>
        <v>0</v>
      </c>
      <c r="AG130" s="281">
        <v>0.25</v>
      </c>
      <c r="AH130" s="282" t="s">
        <v>368</v>
      </c>
      <c r="AI130" s="283">
        <v>37771221</v>
      </c>
      <c r="AJ130" s="279"/>
      <c r="AK130" s="279"/>
      <c r="AL130" s="280">
        <f t="shared" si="46"/>
        <v>0</v>
      </c>
      <c r="AM130" s="280">
        <f t="shared" si="33"/>
        <v>0</v>
      </c>
      <c r="AN130" s="280">
        <f t="shared" si="34"/>
        <v>0</v>
      </c>
      <c r="AO130" s="280">
        <f t="shared" si="35"/>
        <v>0</v>
      </c>
      <c r="AP130" s="281">
        <v>0.25</v>
      </c>
      <c r="AQ130" s="282" t="s">
        <v>368</v>
      </c>
      <c r="AR130" s="283">
        <v>37771221</v>
      </c>
      <c r="AS130" s="279"/>
      <c r="AT130" s="279"/>
      <c r="AU130" s="280">
        <f t="shared" si="47"/>
        <v>0</v>
      </c>
      <c r="AV130" s="280">
        <f t="shared" si="48"/>
        <v>0</v>
      </c>
      <c r="AW130" s="280">
        <f t="shared" si="49"/>
        <v>0</v>
      </c>
      <c r="AX130" s="280">
        <f t="shared" si="50"/>
        <v>0</v>
      </c>
      <c r="AY130" s="281">
        <v>0.25</v>
      </c>
      <c r="AZ130" s="282" t="s">
        <v>368</v>
      </c>
      <c r="BA130" s="283">
        <v>37771221</v>
      </c>
      <c r="BB130" s="279"/>
      <c r="BC130" s="279"/>
      <c r="BD130" s="281">
        <f t="shared" si="51"/>
        <v>0</v>
      </c>
      <c r="BE130" s="281">
        <f t="shared" si="52"/>
        <v>0</v>
      </c>
      <c r="BF130" s="281">
        <f t="shared" si="53"/>
        <v>0</v>
      </c>
      <c r="BG130" s="281">
        <f t="shared" si="54"/>
        <v>0</v>
      </c>
      <c r="BH130" s="205">
        <f t="shared" si="36"/>
        <v>0</v>
      </c>
      <c r="BI130" s="205">
        <f t="shared" si="37"/>
        <v>0</v>
      </c>
      <c r="BJ130" s="205">
        <f t="shared" si="38"/>
        <v>0</v>
      </c>
      <c r="BK130" s="205">
        <f t="shared" si="39"/>
        <v>0</v>
      </c>
      <c r="BL130" s="205">
        <f t="shared" si="55"/>
        <v>0</v>
      </c>
      <c r="BM130" s="205">
        <f t="shared" si="56"/>
        <v>0</v>
      </c>
      <c r="BN130" s="205">
        <f t="shared" si="40"/>
        <v>0</v>
      </c>
      <c r="BO130" s="205">
        <f t="shared" si="41"/>
        <v>0</v>
      </c>
      <c r="BP130" s="206"/>
      <c r="BQ130" s="277">
        <v>32</v>
      </c>
      <c r="BR130" s="208">
        <f t="shared" si="42"/>
        <v>0.58333333333333337</v>
      </c>
      <c r="BS130" s="219" t="str">
        <f t="shared" si="57"/>
        <v>Dar respuesta a las reclamaciones administrativas radicadas por las EPS o IPS dentro del término legal</v>
      </c>
      <c r="BT130" s="195">
        <f t="shared" si="30"/>
        <v>88132849</v>
      </c>
      <c r="BU130" s="196"/>
      <c r="BV130" s="196"/>
      <c r="BW130" s="196"/>
      <c r="BX130" s="196"/>
      <c r="BY130" s="196"/>
      <c r="BZ130" s="19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146"/>
      <c r="DQ130" s="146"/>
      <c r="DR130" s="146"/>
      <c r="DS130" s="146"/>
      <c r="DT130" s="146"/>
      <c r="DU130" s="146"/>
      <c r="DV130" s="146"/>
      <c r="DW130" s="146"/>
      <c r="DX130" s="146"/>
      <c r="DY130" s="146"/>
      <c r="DZ130" s="146"/>
      <c r="EA130" s="146"/>
      <c r="EB130" s="146"/>
      <c r="EC130" s="146"/>
      <c r="ED130" s="146"/>
      <c r="EE130" s="146"/>
      <c r="EF130" s="146"/>
      <c r="EG130" s="146"/>
      <c r="EH130" s="146"/>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c r="GU130" s="146"/>
      <c r="GV130" s="146"/>
      <c r="GW130" s="146"/>
      <c r="GX130" s="146"/>
      <c r="GY130" s="146"/>
      <c r="GZ130" s="146"/>
      <c r="HA130" s="146"/>
      <c r="HB130" s="146"/>
      <c r="HC130" s="146"/>
      <c r="HD130" s="146"/>
      <c r="HE130" s="146"/>
      <c r="HF130" s="146"/>
      <c r="HG130" s="146"/>
      <c r="HH130" s="146"/>
      <c r="HI130" s="146"/>
      <c r="HJ130" s="146"/>
      <c r="HK130" s="146"/>
      <c r="HL130" s="146"/>
      <c r="HM130" s="146"/>
      <c r="HN130" s="146"/>
      <c r="HO130" s="146"/>
      <c r="HP130" s="146"/>
      <c r="HQ130" s="146"/>
      <c r="HR130" s="146"/>
      <c r="HS130" s="146"/>
      <c r="HT130" s="146"/>
      <c r="HU130" s="146"/>
      <c r="HV130" s="146"/>
      <c r="HW130" s="146"/>
      <c r="HX130" s="146"/>
      <c r="HY130" s="146"/>
      <c r="HZ130" s="146"/>
      <c r="IA130" s="146"/>
    </row>
    <row r="131" spans="1:235" s="155" customFormat="1" ht="114" x14ac:dyDescent="0.25">
      <c r="A131" s="197">
        <v>11900</v>
      </c>
      <c r="B131" s="194" t="s">
        <v>349</v>
      </c>
      <c r="C131" s="198" t="s">
        <v>357</v>
      </c>
      <c r="D131" s="194" t="s">
        <v>146</v>
      </c>
      <c r="E131" s="198" t="s">
        <v>435</v>
      </c>
      <c r="F131" s="194" t="s">
        <v>365</v>
      </c>
      <c r="G131" s="209" t="s">
        <v>123</v>
      </c>
      <c r="H131" s="216">
        <v>1</v>
      </c>
      <c r="I131" s="198" t="s">
        <v>461</v>
      </c>
      <c r="J131" s="194" t="s">
        <v>369</v>
      </c>
      <c r="K131" s="973"/>
      <c r="L131" s="974"/>
      <c r="M131" s="194" t="s">
        <v>46</v>
      </c>
      <c r="N131" s="194" t="s">
        <v>74</v>
      </c>
      <c r="O131" s="194" t="s">
        <v>21</v>
      </c>
      <c r="P131" s="194" t="s">
        <v>36</v>
      </c>
      <c r="Q131" s="194" t="s">
        <v>229</v>
      </c>
      <c r="R131" s="194" t="s">
        <v>696</v>
      </c>
      <c r="S131" s="194" t="s">
        <v>99</v>
      </c>
      <c r="T131" s="211">
        <v>1</v>
      </c>
      <c r="U131" s="212" t="str">
        <f t="shared" si="43"/>
        <v>Interponer oportunamente los recursos de Ley contra los actos administrativos de Colpensiones que ordenan la devolución de aportes al extinto FOYSGA, hoy Administradora de los Recursos del Sistema General de Seguridad Social en Salud - ADRES</v>
      </c>
      <c r="V131" s="213">
        <f t="shared" si="43"/>
        <v>0</v>
      </c>
      <c r="W131" s="222" t="s">
        <v>114</v>
      </c>
      <c r="X131" s="216">
        <v>0.25</v>
      </c>
      <c r="Y131" s="214" t="s">
        <v>369</v>
      </c>
      <c r="Z131" s="210">
        <v>0</v>
      </c>
      <c r="AA131" s="196"/>
      <c r="AB131" s="196"/>
      <c r="AC131" s="204">
        <f t="shared" si="44"/>
        <v>0</v>
      </c>
      <c r="AD131" s="204" t="e">
        <f t="shared" si="45"/>
        <v>#DIV/0!</v>
      </c>
      <c r="AE131" s="204">
        <f t="shared" si="31"/>
        <v>0</v>
      </c>
      <c r="AF131" s="204" t="e">
        <f t="shared" si="32"/>
        <v>#DIV/0!</v>
      </c>
      <c r="AG131" s="216">
        <v>0.25</v>
      </c>
      <c r="AH131" s="214" t="s">
        <v>369</v>
      </c>
      <c r="AI131" s="210">
        <v>0</v>
      </c>
      <c r="AJ131" s="196"/>
      <c r="AK131" s="196"/>
      <c r="AL131" s="204">
        <f t="shared" si="46"/>
        <v>0</v>
      </c>
      <c r="AM131" s="204" t="e">
        <f t="shared" si="33"/>
        <v>#DIV/0!</v>
      </c>
      <c r="AN131" s="204">
        <f t="shared" si="34"/>
        <v>0</v>
      </c>
      <c r="AO131" s="204" t="e">
        <f t="shared" si="35"/>
        <v>#DIV/0!</v>
      </c>
      <c r="AP131" s="216">
        <v>0.25</v>
      </c>
      <c r="AQ131" s="214" t="s">
        <v>369</v>
      </c>
      <c r="AR131" s="210">
        <v>0</v>
      </c>
      <c r="AS131" s="196"/>
      <c r="AT131" s="196"/>
      <c r="AU131" s="204">
        <f t="shared" si="47"/>
        <v>0</v>
      </c>
      <c r="AV131" s="204" t="e">
        <f t="shared" si="48"/>
        <v>#DIV/0!</v>
      </c>
      <c r="AW131" s="204">
        <f t="shared" si="49"/>
        <v>0</v>
      </c>
      <c r="AX131" s="204" t="e">
        <f t="shared" si="50"/>
        <v>#DIV/0!</v>
      </c>
      <c r="AY131" s="216">
        <v>0.25</v>
      </c>
      <c r="AZ131" s="214" t="s">
        <v>369</v>
      </c>
      <c r="BA131" s="210">
        <v>0</v>
      </c>
      <c r="BB131" s="196"/>
      <c r="BC131" s="196"/>
      <c r="BD131" s="216">
        <f t="shared" si="51"/>
        <v>0</v>
      </c>
      <c r="BE131" s="216" t="e">
        <f t="shared" si="52"/>
        <v>#DIV/0!</v>
      </c>
      <c r="BF131" s="216">
        <f t="shared" si="53"/>
        <v>0</v>
      </c>
      <c r="BG131" s="216" t="e">
        <f t="shared" si="54"/>
        <v>#DIV/0!</v>
      </c>
      <c r="BH131" s="228">
        <f t="shared" si="36"/>
        <v>0</v>
      </c>
      <c r="BI131" s="228" t="str">
        <f t="shared" si="37"/>
        <v>No Prog ni Ejec</v>
      </c>
      <c r="BJ131" s="228">
        <f t="shared" si="38"/>
        <v>0</v>
      </c>
      <c r="BK131" s="228" t="str">
        <f t="shared" si="39"/>
        <v>No Prog ni Ejec</v>
      </c>
      <c r="BL131" s="228">
        <f t="shared" si="55"/>
        <v>0</v>
      </c>
      <c r="BM131" s="228" t="str">
        <f t="shared" si="56"/>
        <v>No Prog ni Ejec</v>
      </c>
      <c r="BN131" s="228">
        <f t="shared" si="40"/>
        <v>0</v>
      </c>
      <c r="BO131" s="228" t="str">
        <f t="shared" si="41"/>
        <v>No Prog ni Ejec</v>
      </c>
      <c r="BP131" s="206"/>
      <c r="BQ131" s="277">
        <v>32</v>
      </c>
      <c r="BR131" s="208">
        <f t="shared" si="42"/>
        <v>0.58333333333333337</v>
      </c>
      <c r="BS131" s="219" t="str">
        <f t="shared" si="57"/>
        <v>Interponer oportunamente los recursos de Ley contra los actos administrativos de Colpensiones que ordenan la devolución de aportes al extinto FOYSGA, hoy Administradora de los Recursos del Sistema General de Seguridad Social en Salud - ADRES</v>
      </c>
      <c r="BT131" s="195">
        <f t="shared" si="30"/>
        <v>0</v>
      </c>
      <c r="BU131" s="196"/>
      <c r="BV131" s="196"/>
      <c r="BW131" s="196"/>
      <c r="BX131" s="196"/>
      <c r="BY131" s="196"/>
      <c r="BZ131" s="19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c r="CV131" s="146"/>
      <c r="CW131" s="146"/>
      <c r="CX131" s="146"/>
      <c r="CY131" s="146"/>
      <c r="CZ131" s="146"/>
      <c r="DA131" s="146"/>
      <c r="DB131" s="146"/>
      <c r="DC131" s="146"/>
      <c r="DD131" s="146"/>
      <c r="DE131" s="146"/>
      <c r="DF131" s="146"/>
      <c r="DG131" s="146"/>
      <c r="DH131" s="146"/>
      <c r="DI131" s="146"/>
      <c r="DJ131" s="146"/>
      <c r="DK131" s="146"/>
      <c r="DL131" s="146"/>
      <c r="DM131" s="146"/>
      <c r="DN131" s="146"/>
      <c r="DO131" s="146"/>
      <c r="DP131" s="146"/>
      <c r="DQ131" s="146"/>
      <c r="DR131" s="146"/>
      <c r="DS131" s="146"/>
      <c r="DT131" s="146"/>
      <c r="DU131" s="146"/>
      <c r="DV131" s="146"/>
      <c r="DW131" s="146"/>
      <c r="DX131" s="146"/>
      <c r="DY131" s="146"/>
      <c r="DZ131" s="146"/>
      <c r="EA131" s="146"/>
      <c r="EB131" s="146"/>
      <c r="EC131" s="146"/>
      <c r="ED131" s="146"/>
      <c r="EE131" s="146"/>
      <c r="EF131" s="146"/>
      <c r="EG131" s="146"/>
      <c r="EH131" s="146"/>
      <c r="EI131" s="146"/>
      <c r="EJ131" s="146"/>
      <c r="EK131" s="146"/>
      <c r="EL131" s="146"/>
      <c r="EM131" s="146"/>
      <c r="EN131" s="146"/>
      <c r="EO131" s="146"/>
      <c r="EP131" s="146"/>
      <c r="EQ131" s="146"/>
      <c r="ER131" s="146"/>
      <c r="ES131" s="146"/>
      <c r="ET131" s="146"/>
      <c r="EU131" s="146"/>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c r="GU131" s="146"/>
      <c r="GV131" s="146"/>
      <c r="GW131" s="146"/>
      <c r="GX131" s="146"/>
      <c r="GY131" s="146"/>
      <c r="GZ131" s="146"/>
      <c r="HA131" s="146"/>
      <c r="HB131" s="146"/>
      <c r="HC131" s="146"/>
      <c r="HD131" s="146"/>
      <c r="HE131" s="146"/>
      <c r="HF131" s="146"/>
      <c r="HG131" s="146"/>
      <c r="HH131" s="146"/>
      <c r="HI131" s="146"/>
      <c r="HJ131" s="146"/>
      <c r="HK131" s="146"/>
      <c r="HL131" s="146"/>
      <c r="HM131" s="146"/>
      <c r="HN131" s="146"/>
      <c r="HO131" s="146"/>
      <c r="HP131" s="146"/>
      <c r="HQ131" s="146"/>
      <c r="HR131" s="146"/>
      <c r="HS131" s="146"/>
      <c r="HT131" s="146"/>
      <c r="HU131" s="146"/>
      <c r="HV131" s="146"/>
      <c r="HW131" s="146"/>
      <c r="HX131" s="146"/>
      <c r="HY131" s="146"/>
      <c r="HZ131" s="146"/>
      <c r="IA131" s="146"/>
    </row>
    <row r="132" spans="1:235" s="155" customFormat="1" ht="71.25" x14ac:dyDescent="0.25">
      <c r="A132" s="197">
        <v>11900</v>
      </c>
      <c r="B132" s="194" t="s">
        <v>349</v>
      </c>
      <c r="C132" s="198" t="s">
        <v>357</v>
      </c>
      <c r="D132" s="194" t="s">
        <v>146</v>
      </c>
      <c r="E132" s="198" t="s">
        <v>443</v>
      </c>
      <c r="F132" s="194" t="s">
        <v>568</v>
      </c>
      <c r="G132" s="209" t="s">
        <v>123</v>
      </c>
      <c r="H132" s="216">
        <v>1</v>
      </c>
      <c r="I132" s="198" t="s">
        <v>548</v>
      </c>
      <c r="J132" s="194" t="s">
        <v>697</v>
      </c>
      <c r="K132" s="973"/>
      <c r="L132" s="974"/>
      <c r="M132" s="194" t="s">
        <v>46</v>
      </c>
      <c r="N132" s="194" t="s">
        <v>74</v>
      </c>
      <c r="O132" s="194" t="s">
        <v>21</v>
      </c>
      <c r="P132" s="194" t="s">
        <v>36</v>
      </c>
      <c r="Q132" s="194" t="s">
        <v>229</v>
      </c>
      <c r="R132" s="194" t="s">
        <v>698</v>
      </c>
      <c r="S132" s="194" t="s">
        <v>99</v>
      </c>
      <c r="T132" s="211">
        <v>1</v>
      </c>
      <c r="U132" s="212" t="str">
        <f t="shared" si="43"/>
        <v xml:space="preserve">Solicitudes de embargos </v>
      </c>
      <c r="V132" s="213">
        <f t="shared" si="43"/>
        <v>0</v>
      </c>
      <c r="W132" s="222" t="s">
        <v>114</v>
      </c>
      <c r="X132" s="216">
        <v>0.25</v>
      </c>
      <c r="Y132" s="214" t="s">
        <v>697</v>
      </c>
      <c r="Z132" s="210">
        <v>0</v>
      </c>
      <c r="AA132" s="196"/>
      <c r="AB132" s="196"/>
      <c r="AC132" s="204">
        <f t="shared" si="44"/>
        <v>0</v>
      </c>
      <c r="AD132" s="204" t="e">
        <f t="shared" si="45"/>
        <v>#DIV/0!</v>
      </c>
      <c r="AE132" s="204">
        <f t="shared" si="31"/>
        <v>0</v>
      </c>
      <c r="AF132" s="204" t="e">
        <f t="shared" si="32"/>
        <v>#DIV/0!</v>
      </c>
      <c r="AG132" s="216">
        <v>0.25</v>
      </c>
      <c r="AH132" s="214" t="s">
        <v>697</v>
      </c>
      <c r="AI132" s="210">
        <v>0</v>
      </c>
      <c r="AJ132" s="196"/>
      <c r="AK132" s="196"/>
      <c r="AL132" s="204">
        <f t="shared" si="46"/>
        <v>0</v>
      </c>
      <c r="AM132" s="204" t="e">
        <f t="shared" si="33"/>
        <v>#DIV/0!</v>
      </c>
      <c r="AN132" s="204">
        <f t="shared" si="34"/>
        <v>0</v>
      </c>
      <c r="AO132" s="204" t="e">
        <f t="shared" si="35"/>
        <v>#DIV/0!</v>
      </c>
      <c r="AP132" s="216">
        <v>0.25</v>
      </c>
      <c r="AQ132" s="214" t="s">
        <v>697</v>
      </c>
      <c r="AR132" s="210">
        <v>0</v>
      </c>
      <c r="AS132" s="196"/>
      <c r="AT132" s="196"/>
      <c r="AU132" s="204">
        <f t="shared" si="47"/>
        <v>0</v>
      </c>
      <c r="AV132" s="204" t="e">
        <f t="shared" si="48"/>
        <v>#DIV/0!</v>
      </c>
      <c r="AW132" s="204">
        <f t="shared" si="49"/>
        <v>0</v>
      </c>
      <c r="AX132" s="204" t="e">
        <f t="shared" si="50"/>
        <v>#DIV/0!</v>
      </c>
      <c r="AY132" s="216">
        <v>0.25</v>
      </c>
      <c r="AZ132" s="214" t="s">
        <v>697</v>
      </c>
      <c r="BA132" s="210">
        <v>0</v>
      </c>
      <c r="BB132" s="196"/>
      <c r="BC132" s="196"/>
      <c r="BD132" s="216">
        <f t="shared" si="51"/>
        <v>0</v>
      </c>
      <c r="BE132" s="216" t="e">
        <f t="shared" si="52"/>
        <v>#DIV/0!</v>
      </c>
      <c r="BF132" s="216">
        <f t="shared" si="53"/>
        <v>0</v>
      </c>
      <c r="BG132" s="216" t="e">
        <f t="shared" si="54"/>
        <v>#DIV/0!</v>
      </c>
      <c r="BH132" s="228">
        <f t="shared" si="36"/>
        <v>0</v>
      </c>
      <c r="BI132" s="228" t="str">
        <f t="shared" si="37"/>
        <v>No Prog ni Ejec</v>
      </c>
      <c r="BJ132" s="228">
        <f t="shared" si="38"/>
        <v>0</v>
      </c>
      <c r="BK132" s="228" t="str">
        <f t="shared" si="39"/>
        <v>No Prog ni Ejec</v>
      </c>
      <c r="BL132" s="228">
        <f t="shared" si="55"/>
        <v>0</v>
      </c>
      <c r="BM132" s="228" t="str">
        <f t="shared" si="56"/>
        <v>No Prog ni Ejec</v>
      </c>
      <c r="BN132" s="228">
        <f t="shared" si="40"/>
        <v>0</v>
      </c>
      <c r="BO132" s="228" t="str">
        <f t="shared" si="41"/>
        <v>No Prog ni Ejec</v>
      </c>
      <c r="BP132" s="206"/>
      <c r="BQ132" s="277">
        <v>32</v>
      </c>
      <c r="BR132" s="208">
        <f t="shared" si="42"/>
        <v>0.58333333333333337</v>
      </c>
      <c r="BS132" s="219" t="str">
        <f t="shared" si="57"/>
        <v xml:space="preserve">Solicitudes de embargos </v>
      </c>
      <c r="BT132" s="195">
        <f t="shared" si="30"/>
        <v>0</v>
      </c>
      <c r="BU132" s="196"/>
      <c r="BV132" s="196"/>
      <c r="BW132" s="196"/>
      <c r="BX132" s="196"/>
      <c r="BY132" s="196"/>
      <c r="BZ132" s="19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146"/>
      <c r="DF132" s="146"/>
      <c r="DG132" s="146"/>
      <c r="DH132" s="146"/>
      <c r="DI132" s="146"/>
      <c r="DJ132" s="146"/>
      <c r="DK132" s="146"/>
      <c r="DL132" s="146"/>
      <c r="DM132" s="146"/>
      <c r="DN132" s="146"/>
      <c r="DO132" s="146"/>
      <c r="DP132" s="146"/>
      <c r="DQ132" s="146"/>
      <c r="DR132" s="146"/>
      <c r="DS132" s="146"/>
      <c r="DT132" s="146"/>
      <c r="DU132" s="146"/>
      <c r="DV132" s="146"/>
      <c r="DW132" s="146"/>
      <c r="DX132" s="146"/>
      <c r="DY132" s="146"/>
      <c r="DZ132" s="146"/>
      <c r="EA132" s="146"/>
      <c r="EB132" s="146"/>
      <c r="EC132" s="146"/>
      <c r="ED132" s="146"/>
      <c r="EE132" s="146"/>
      <c r="EF132" s="146"/>
      <c r="EG132" s="146"/>
      <c r="EH132" s="146"/>
      <c r="EI132" s="146"/>
      <c r="EJ132" s="146"/>
      <c r="EK132" s="146"/>
      <c r="EL132" s="146"/>
      <c r="EM132" s="146"/>
      <c r="EN132" s="146"/>
      <c r="EO132" s="146"/>
      <c r="EP132" s="146"/>
      <c r="EQ132" s="146"/>
      <c r="ER132" s="146"/>
      <c r="ES132" s="146"/>
      <c r="ET132" s="146"/>
      <c r="EU132" s="146"/>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c r="GU132" s="146"/>
      <c r="GV132" s="146"/>
      <c r="GW132" s="146"/>
      <c r="GX132" s="146"/>
      <c r="GY132" s="146"/>
      <c r="GZ132" s="146"/>
      <c r="HA132" s="146"/>
      <c r="HB132" s="146"/>
      <c r="HC132" s="146"/>
      <c r="HD132" s="146"/>
      <c r="HE132" s="146"/>
      <c r="HF132" s="146"/>
      <c r="HG132" s="146"/>
      <c r="HH132" s="146"/>
      <c r="HI132" s="146"/>
      <c r="HJ132" s="146"/>
      <c r="HK132" s="146"/>
      <c r="HL132" s="146"/>
      <c r="HM132" s="146"/>
      <c r="HN132" s="146"/>
      <c r="HO132" s="146"/>
      <c r="HP132" s="146"/>
      <c r="HQ132" s="146"/>
      <c r="HR132" s="146"/>
      <c r="HS132" s="146"/>
      <c r="HT132" s="146"/>
      <c r="HU132" s="146"/>
      <c r="HV132" s="146"/>
      <c r="HW132" s="146"/>
      <c r="HX132" s="146"/>
      <c r="HY132" s="146"/>
      <c r="HZ132" s="146"/>
      <c r="IA132" s="146"/>
    </row>
    <row r="133" spans="1:235" s="155" customFormat="1" ht="57" x14ac:dyDescent="0.25">
      <c r="A133" s="197">
        <v>11900</v>
      </c>
      <c r="B133" s="194" t="s">
        <v>349</v>
      </c>
      <c r="C133" s="198" t="s">
        <v>357</v>
      </c>
      <c r="D133" s="194" t="s">
        <v>146</v>
      </c>
      <c r="E133" s="198" t="s">
        <v>447</v>
      </c>
      <c r="F133" s="194" t="s">
        <v>448</v>
      </c>
      <c r="G133" s="209" t="s">
        <v>123</v>
      </c>
      <c r="H133" s="216">
        <v>1</v>
      </c>
      <c r="I133" s="198" t="s">
        <v>463</v>
      </c>
      <c r="J133" s="194" t="s">
        <v>551</v>
      </c>
      <c r="K133" s="210">
        <v>590922272</v>
      </c>
      <c r="L133" s="211">
        <v>1</v>
      </c>
      <c r="M133" s="194" t="s">
        <v>46</v>
      </c>
      <c r="N133" s="194" t="s">
        <v>74</v>
      </c>
      <c r="O133" s="194" t="s">
        <v>21</v>
      </c>
      <c r="P133" s="194" t="s">
        <v>36</v>
      </c>
      <c r="Q133" s="194" t="s">
        <v>229</v>
      </c>
      <c r="R133" s="194" t="s">
        <v>765</v>
      </c>
      <c r="S133" s="194" t="s">
        <v>99</v>
      </c>
      <c r="T133" s="211">
        <v>1</v>
      </c>
      <c r="U133" s="212" t="str">
        <f t="shared" si="43"/>
        <v>Conceptos</v>
      </c>
      <c r="V133" s="213">
        <f t="shared" si="43"/>
        <v>590922272</v>
      </c>
      <c r="W133" s="222" t="s">
        <v>114</v>
      </c>
      <c r="X133" s="216">
        <v>0.25</v>
      </c>
      <c r="Y133" s="214" t="s">
        <v>444</v>
      </c>
      <c r="Z133" s="210">
        <f>+V133*X133</f>
        <v>147730568</v>
      </c>
      <c r="AA133" s="196"/>
      <c r="AB133" s="196"/>
      <c r="AC133" s="204">
        <f t="shared" si="44"/>
        <v>0</v>
      </c>
      <c r="AD133" s="204">
        <f t="shared" si="45"/>
        <v>0</v>
      </c>
      <c r="AE133" s="204">
        <f t="shared" si="31"/>
        <v>0</v>
      </c>
      <c r="AF133" s="204">
        <f t="shared" si="32"/>
        <v>0</v>
      </c>
      <c r="AG133" s="216">
        <v>0.25</v>
      </c>
      <c r="AH133" s="214" t="s">
        <v>444</v>
      </c>
      <c r="AI133" s="210">
        <v>147730568</v>
      </c>
      <c r="AJ133" s="196"/>
      <c r="AK133" s="196"/>
      <c r="AL133" s="204">
        <f t="shared" si="46"/>
        <v>0</v>
      </c>
      <c r="AM133" s="204">
        <f t="shared" si="33"/>
        <v>0</v>
      </c>
      <c r="AN133" s="204">
        <f t="shared" si="34"/>
        <v>0</v>
      </c>
      <c r="AO133" s="204">
        <f t="shared" si="35"/>
        <v>0</v>
      </c>
      <c r="AP133" s="216">
        <v>0.25</v>
      </c>
      <c r="AQ133" s="214" t="s">
        <v>444</v>
      </c>
      <c r="AR133" s="210">
        <v>147730568</v>
      </c>
      <c r="AS133" s="196"/>
      <c r="AT133" s="196"/>
      <c r="AU133" s="204">
        <f t="shared" si="47"/>
        <v>0</v>
      </c>
      <c r="AV133" s="204">
        <f t="shared" si="48"/>
        <v>0</v>
      </c>
      <c r="AW133" s="204">
        <f t="shared" si="49"/>
        <v>0</v>
      </c>
      <c r="AX133" s="204">
        <f t="shared" si="50"/>
        <v>0</v>
      </c>
      <c r="AY133" s="216">
        <v>0.25</v>
      </c>
      <c r="AZ133" s="214" t="s">
        <v>444</v>
      </c>
      <c r="BA133" s="210">
        <v>147730568</v>
      </c>
      <c r="BB133" s="196"/>
      <c r="BC133" s="196"/>
      <c r="BD133" s="216">
        <f t="shared" si="51"/>
        <v>0</v>
      </c>
      <c r="BE133" s="216">
        <f t="shared" si="52"/>
        <v>0</v>
      </c>
      <c r="BF133" s="216">
        <f t="shared" si="53"/>
        <v>0</v>
      </c>
      <c r="BG133" s="216">
        <f t="shared" si="54"/>
        <v>0</v>
      </c>
      <c r="BH133" s="228">
        <f t="shared" si="36"/>
        <v>0</v>
      </c>
      <c r="BI133" s="228">
        <f t="shared" si="37"/>
        <v>0</v>
      </c>
      <c r="BJ133" s="228">
        <f t="shared" si="38"/>
        <v>0</v>
      </c>
      <c r="BK133" s="228">
        <f t="shared" si="39"/>
        <v>0</v>
      </c>
      <c r="BL133" s="228">
        <f t="shared" si="55"/>
        <v>0</v>
      </c>
      <c r="BM133" s="228">
        <f t="shared" si="56"/>
        <v>0</v>
      </c>
      <c r="BN133" s="228">
        <f t="shared" si="40"/>
        <v>0</v>
      </c>
      <c r="BO133" s="228">
        <f t="shared" si="41"/>
        <v>0</v>
      </c>
      <c r="BP133" s="206"/>
      <c r="BQ133" s="277">
        <v>32</v>
      </c>
      <c r="BR133" s="208">
        <f t="shared" si="42"/>
        <v>0.58333333333333337</v>
      </c>
      <c r="BS133" s="219" t="str">
        <f t="shared" si="57"/>
        <v>Conceptos</v>
      </c>
      <c r="BT133" s="195">
        <f t="shared" si="30"/>
        <v>344704658.66666669</v>
      </c>
      <c r="BU133" s="196"/>
      <c r="BV133" s="196"/>
      <c r="BW133" s="196"/>
      <c r="BX133" s="196"/>
      <c r="BY133" s="196"/>
      <c r="BZ133" s="19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146"/>
      <c r="DI133" s="146"/>
      <c r="DJ133" s="146"/>
      <c r="DK133" s="146"/>
      <c r="DL133" s="146"/>
      <c r="DM133" s="146"/>
      <c r="DN133" s="146"/>
      <c r="DO133" s="146"/>
      <c r="DP133" s="146"/>
      <c r="DQ133" s="146"/>
      <c r="DR133" s="146"/>
      <c r="DS133" s="146"/>
      <c r="DT133" s="146"/>
      <c r="DU133" s="146"/>
      <c r="DV133" s="146"/>
      <c r="DW133" s="146"/>
      <c r="DX133" s="146"/>
      <c r="DY133" s="146"/>
      <c r="DZ133" s="146"/>
      <c r="EA133" s="146"/>
      <c r="EB133" s="146"/>
      <c r="EC133" s="146"/>
      <c r="ED133" s="146"/>
      <c r="EE133" s="146"/>
      <c r="EF133" s="146"/>
      <c r="EG133" s="146"/>
      <c r="EH133" s="146"/>
      <c r="EI133" s="146"/>
      <c r="EJ133" s="146"/>
      <c r="EK133" s="146"/>
      <c r="EL133" s="146"/>
      <c r="EM133" s="146"/>
      <c r="EN133" s="146"/>
      <c r="EO133" s="146"/>
      <c r="EP133" s="146"/>
      <c r="EQ133" s="146"/>
      <c r="ER133" s="146"/>
      <c r="ES133" s="146"/>
      <c r="ET133" s="146"/>
      <c r="EU133" s="146"/>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c r="GU133" s="146"/>
      <c r="GV133" s="146"/>
      <c r="GW133" s="146"/>
      <c r="GX133" s="146"/>
      <c r="GY133" s="146"/>
      <c r="GZ133" s="146"/>
      <c r="HA133" s="146"/>
      <c r="HB133" s="146"/>
      <c r="HC133" s="146"/>
      <c r="HD133" s="146"/>
      <c r="HE133" s="146"/>
      <c r="HF133" s="146"/>
      <c r="HG133" s="146"/>
      <c r="HH133" s="146"/>
      <c r="HI133" s="146"/>
      <c r="HJ133" s="146"/>
      <c r="HK133" s="146"/>
      <c r="HL133" s="146"/>
      <c r="HM133" s="146"/>
      <c r="HN133" s="146"/>
      <c r="HO133" s="146"/>
      <c r="HP133" s="146"/>
      <c r="HQ133" s="146"/>
      <c r="HR133" s="146"/>
      <c r="HS133" s="146"/>
      <c r="HT133" s="146"/>
      <c r="HU133" s="146"/>
      <c r="HV133" s="146"/>
      <c r="HW133" s="146"/>
      <c r="HX133" s="146"/>
      <c r="HY133" s="146"/>
      <c r="HZ133" s="146"/>
      <c r="IA133" s="146"/>
    </row>
    <row r="134" spans="1:235" s="153" customFormat="1" ht="71.25" x14ac:dyDescent="0.25">
      <c r="A134" s="197">
        <v>11900</v>
      </c>
      <c r="B134" s="194" t="s">
        <v>349</v>
      </c>
      <c r="C134" s="198" t="s">
        <v>357</v>
      </c>
      <c r="D134" s="194" t="s">
        <v>146</v>
      </c>
      <c r="E134" s="198" t="s">
        <v>450</v>
      </c>
      <c r="F134" s="194" t="s">
        <v>449</v>
      </c>
      <c r="G134" s="209" t="s">
        <v>124</v>
      </c>
      <c r="H134" s="215">
        <v>2</v>
      </c>
      <c r="I134" s="198" t="s">
        <v>549</v>
      </c>
      <c r="J134" s="194" t="s">
        <v>699</v>
      </c>
      <c r="K134" s="210">
        <v>0</v>
      </c>
      <c r="L134" s="211">
        <v>1</v>
      </c>
      <c r="M134" s="194" t="s">
        <v>46</v>
      </c>
      <c r="N134" s="194" t="s">
        <v>74</v>
      </c>
      <c r="O134" s="194" t="s">
        <v>21</v>
      </c>
      <c r="P134" s="194" t="s">
        <v>36</v>
      </c>
      <c r="Q134" s="194" t="s">
        <v>229</v>
      </c>
      <c r="R134" s="194" t="s">
        <v>631</v>
      </c>
      <c r="S134" s="194" t="s">
        <v>99</v>
      </c>
      <c r="T134" s="227">
        <v>2</v>
      </c>
      <c r="U134" s="212" t="str">
        <f t="shared" si="43"/>
        <v>Informe de identificación de  reclamaciones contenidas en actos administrativos debidamente ejecutoriados y con mora mayor a 180 días</v>
      </c>
      <c r="V134" s="213">
        <f t="shared" si="43"/>
        <v>0</v>
      </c>
      <c r="W134" s="214" t="s">
        <v>117</v>
      </c>
      <c r="X134" s="215">
        <v>2</v>
      </c>
      <c r="Y134" s="214" t="s">
        <v>368</v>
      </c>
      <c r="Z134" s="210">
        <v>0</v>
      </c>
      <c r="AA134" s="196"/>
      <c r="AB134" s="196"/>
      <c r="AC134" s="204">
        <f t="shared" si="44"/>
        <v>0</v>
      </c>
      <c r="AD134" s="204" t="e">
        <f t="shared" si="45"/>
        <v>#DIV/0!</v>
      </c>
      <c r="AE134" s="204">
        <f t="shared" si="31"/>
        <v>0</v>
      </c>
      <c r="AF134" s="204" t="e">
        <f t="shared" si="32"/>
        <v>#DIV/0!</v>
      </c>
      <c r="AG134" s="215">
        <v>0</v>
      </c>
      <c r="AH134" s="214" t="s">
        <v>368</v>
      </c>
      <c r="AI134" s="210">
        <v>0</v>
      </c>
      <c r="AJ134" s="196"/>
      <c r="AK134" s="196"/>
      <c r="AL134" s="204" t="e">
        <f t="shared" si="46"/>
        <v>#DIV/0!</v>
      </c>
      <c r="AM134" s="204" t="e">
        <f t="shared" si="33"/>
        <v>#DIV/0!</v>
      </c>
      <c r="AN134" s="204">
        <f t="shared" si="34"/>
        <v>0</v>
      </c>
      <c r="AO134" s="204" t="e">
        <f t="shared" si="35"/>
        <v>#DIV/0!</v>
      </c>
      <c r="AP134" s="215">
        <v>0</v>
      </c>
      <c r="AQ134" s="214" t="s">
        <v>368</v>
      </c>
      <c r="AR134" s="210">
        <v>0</v>
      </c>
      <c r="AS134" s="196"/>
      <c r="AT134" s="196"/>
      <c r="AU134" s="204" t="e">
        <f t="shared" si="47"/>
        <v>#DIV/0!</v>
      </c>
      <c r="AV134" s="204" t="e">
        <f t="shared" si="48"/>
        <v>#DIV/0!</v>
      </c>
      <c r="AW134" s="204">
        <f t="shared" si="49"/>
        <v>0</v>
      </c>
      <c r="AX134" s="204" t="e">
        <f t="shared" si="50"/>
        <v>#DIV/0!</v>
      </c>
      <c r="AY134" s="215">
        <v>0</v>
      </c>
      <c r="AZ134" s="214" t="s">
        <v>368</v>
      </c>
      <c r="BA134" s="210">
        <v>0</v>
      </c>
      <c r="BB134" s="196"/>
      <c r="BC134" s="196"/>
      <c r="BD134" s="216" t="e">
        <f t="shared" si="51"/>
        <v>#DIV/0!</v>
      </c>
      <c r="BE134" s="216" t="e">
        <f t="shared" si="52"/>
        <v>#DIV/0!</v>
      </c>
      <c r="BF134" s="216">
        <f t="shared" si="53"/>
        <v>0</v>
      </c>
      <c r="BG134" s="216" t="e">
        <f t="shared" si="54"/>
        <v>#DIV/0!</v>
      </c>
      <c r="BH134" s="217">
        <f t="shared" si="36"/>
        <v>0</v>
      </c>
      <c r="BI134" s="217" t="str">
        <f t="shared" si="37"/>
        <v>No Prog ni Ejec</v>
      </c>
      <c r="BJ134" s="217" t="str">
        <f t="shared" si="38"/>
        <v>No Prog ni Ejec</v>
      </c>
      <c r="BK134" s="217" t="str">
        <f t="shared" si="39"/>
        <v>No Prog ni Ejec</v>
      </c>
      <c r="BL134" s="217" t="str">
        <f t="shared" si="55"/>
        <v>No Prog ni Ejec</v>
      </c>
      <c r="BM134" s="217" t="str">
        <f t="shared" si="56"/>
        <v>No Prog ni Ejec</v>
      </c>
      <c r="BN134" s="217" t="str">
        <f t="shared" si="40"/>
        <v>No Prog ni Ejec</v>
      </c>
      <c r="BO134" s="217" t="str">
        <f t="shared" si="41"/>
        <v>No Prog ni Ejec</v>
      </c>
      <c r="BP134" s="206"/>
      <c r="BQ134" s="277">
        <v>31</v>
      </c>
      <c r="BR134" s="218">
        <f t="shared" si="42"/>
        <v>2</v>
      </c>
      <c r="BS134" s="219" t="str">
        <f t="shared" si="57"/>
        <v>Informe de identificación de  reclamaciones contenidas en actos administrativos debidamente ejecutoriados y con mora mayor a 180 días</v>
      </c>
      <c r="BT134" s="195">
        <f t="shared" si="30"/>
        <v>0</v>
      </c>
      <c r="BU134" s="196"/>
      <c r="BV134" s="196"/>
      <c r="BW134" s="196"/>
      <c r="BX134" s="196"/>
      <c r="BY134" s="196"/>
      <c r="BZ134" s="19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46"/>
      <c r="EB134" s="146"/>
      <c r="EC134" s="146"/>
      <c r="ED134" s="146"/>
      <c r="EE134" s="146"/>
      <c r="EF134" s="146"/>
      <c r="EG134" s="146"/>
      <c r="EH134" s="146"/>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c r="GU134" s="146"/>
      <c r="GV134" s="146"/>
      <c r="GW134" s="146"/>
      <c r="GX134" s="146"/>
      <c r="GY134" s="146"/>
      <c r="GZ134" s="146"/>
      <c r="HA134" s="146"/>
      <c r="HB134" s="146"/>
      <c r="HC134" s="146"/>
      <c r="HD134" s="146"/>
      <c r="HE134" s="146"/>
      <c r="HF134" s="146"/>
      <c r="HG134" s="146"/>
      <c r="HH134" s="146"/>
      <c r="HI134" s="146"/>
      <c r="HJ134" s="146"/>
      <c r="HK134" s="146"/>
      <c r="HL134" s="146"/>
      <c r="HM134" s="146"/>
      <c r="HN134" s="146"/>
      <c r="HO134" s="146"/>
      <c r="HP134" s="146"/>
      <c r="HQ134" s="146"/>
      <c r="HR134" s="146"/>
      <c r="HS134" s="146"/>
      <c r="HT134" s="146"/>
      <c r="HU134" s="146"/>
      <c r="HV134" s="146"/>
      <c r="HW134" s="146"/>
      <c r="HX134" s="146"/>
      <c r="HY134" s="146"/>
      <c r="HZ134" s="146"/>
      <c r="IA134" s="146"/>
    </row>
    <row r="135" spans="1:235" s="153" customFormat="1" ht="114" x14ac:dyDescent="0.25">
      <c r="A135" s="197">
        <v>11900</v>
      </c>
      <c r="B135" s="194" t="s">
        <v>349</v>
      </c>
      <c r="C135" s="198" t="s">
        <v>357</v>
      </c>
      <c r="D135" s="194" t="s">
        <v>146</v>
      </c>
      <c r="E135" s="953" t="s">
        <v>450</v>
      </c>
      <c r="F135" s="963" t="s">
        <v>449</v>
      </c>
      <c r="G135" s="953" t="s">
        <v>123</v>
      </c>
      <c r="H135" s="216">
        <v>1</v>
      </c>
      <c r="I135" s="953" t="s">
        <v>550</v>
      </c>
      <c r="J135" s="963" t="s">
        <v>451</v>
      </c>
      <c r="K135" s="957">
        <v>0</v>
      </c>
      <c r="L135" s="211">
        <v>1</v>
      </c>
      <c r="M135" s="963" t="s">
        <v>46</v>
      </c>
      <c r="N135" s="963" t="s">
        <v>74</v>
      </c>
      <c r="O135" s="963" t="s">
        <v>21</v>
      </c>
      <c r="P135" s="963" t="s">
        <v>36</v>
      </c>
      <c r="Q135" s="963" t="s">
        <v>229</v>
      </c>
      <c r="R135" s="194" t="s">
        <v>453</v>
      </c>
      <c r="S135" s="194" t="s">
        <v>99</v>
      </c>
      <c r="T135" s="211">
        <v>1</v>
      </c>
      <c r="U135" s="212" t="str">
        <f t="shared" si="43"/>
        <v>Venta de Cartera mayor a &gt;180 días con actos administrativos debidamente ejecutoriados a Central de Inversiones SA -CISA-</v>
      </c>
      <c r="V135" s="213">
        <f t="shared" si="43"/>
        <v>0</v>
      </c>
      <c r="W135" s="214" t="s">
        <v>117</v>
      </c>
      <c r="X135" s="216">
        <v>0.5</v>
      </c>
      <c r="Y135" s="214" t="s">
        <v>369</v>
      </c>
      <c r="Z135" s="210">
        <v>0</v>
      </c>
      <c r="AA135" s="196"/>
      <c r="AB135" s="196"/>
      <c r="AC135" s="204">
        <f t="shared" si="44"/>
        <v>0</v>
      </c>
      <c r="AD135" s="204" t="e">
        <f>+(AB135/Z135)</f>
        <v>#DIV/0!</v>
      </c>
      <c r="AE135" s="204">
        <f t="shared" si="31"/>
        <v>0</v>
      </c>
      <c r="AF135" s="204" t="e">
        <f t="shared" si="32"/>
        <v>#DIV/0!</v>
      </c>
      <c r="AG135" s="216">
        <v>0.5</v>
      </c>
      <c r="AH135" s="214" t="s">
        <v>369</v>
      </c>
      <c r="AI135" s="210">
        <v>0</v>
      </c>
      <c r="AJ135" s="196"/>
      <c r="AK135" s="196"/>
      <c r="AL135" s="204">
        <f t="shared" si="46"/>
        <v>0</v>
      </c>
      <c r="AM135" s="204" t="e">
        <f t="shared" si="33"/>
        <v>#DIV/0!</v>
      </c>
      <c r="AN135" s="204">
        <f t="shared" si="34"/>
        <v>0</v>
      </c>
      <c r="AO135" s="204" t="e">
        <f t="shared" si="35"/>
        <v>#DIV/0!</v>
      </c>
      <c r="AP135" s="216">
        <v>0</v>
      </c>
      <c r="AQ135" s="214" t="s">
        <v>369</v>
      </c>
      <c r="AR135" s="210">
        <v>0</v>
      </c>
      <c r="AS135" s="196"/>
      <c r="AT135" s="196"/>
      <c r="AU135" s="204" t="e">
        <f t="shared" si="47"/>
        <v>#DIV/0!</v>
      </c>
      <c r="AV135" s="204" t="e">
        <f t="shared" si="48"/>
        <v>#DIV/0!</v>
      </c>
      <c r="AW135" s="204">
        <f t="shared" si="49"/>
        <v>0</v>
      </c>
      <c r="AX135" s="204" t="e">
        <f t="shared" si="50"/>
        <v>#DIV/0!</v>
      </c>
      <c r="AY135" s="216">
        <v>0</v>
      </c>
      <c r="AZ135" s="214" t="s">
        <v>369</v>
      </c>
      <c r="BA135" s="210">
        <v>0</v>
      </c>
      <c r="BB135" s="196"/>
      <c r="BC135" s="196"/>
      <c r="BD135" s="216" t="e">
        <f t="shared" si="51"/>
        <v>#DIV/0!</v>
      </c>
      <c r="BE135" s="216" t="e">
        <f t="shared" si="52"/>
        <v>#DIV/0!</v>
      </c>
      <c r="BF135" s="216">
        <f t="shared" si="53"/>
        <v>0</v>
      </c>
      <c r="BG135" s="216" t="e">
        <f t="shared" si="54"/>
        <v>#DIV/0!</v>
      </c>
      <c r="BH135" s="217">
        <f t="shared" si="36"/>
        <v>0</v>
      </c>
      <c r="BI135" s="217" t="str">
        <f t="shared" si="37"/>
        <v>No Prog ni Ejec</v>
      </c>
      <c r="BJ135" s="217">
        <f t="shared" si="38"/>
        <v>0</v>
      </c>
      <c r="BK135" s="217" t="str">
        <f t="shared" si="39"/>
        <v>No Prog ni Ejec</v>
      </c>
      <c r="BL135" s="217" t="str">
        <f t="shared" si="55"/>
        <v>No Prog ni Ejec</v>
      </c>
      <c r="BM135" s="217" t="str">
        <f t="shared" si="56"/>
        <v>No Prog ni Ejec</v>
      </c>
      <c r="BN135" s="217" t="str">
        <f t="shared" si="40"/>
        <v>No Prog ni Ejec</v>
      </c>
      <c r="BO135" s="217" t="str">
        <f t="shared" si="41"/>
        <v>No Prog ni Ejec</v>
      </c>
      <c r="BP135" s="206"/>
      <c r="BQ135" s="277">
        <v>31</v>
      </c>
      <c r="BR135" s="208">
        <f t="shared" si="42"/>
        <v>1</v>
      </c>
      <c r="BS135" s="219" t="str">
        <f t="shared" si="57"/>
        <v>Venta de Cartera mayor a &gt;180 días con actos administrativos debidamente ejecutoriados a Central de Inversiones SA -CISA-</v>
      </c>
      <c r="BT135" s="195">
        <f t="shared" si="30"/>
        <v>0</v>
      </c>
      <c r="BU135" s="196"/>
      <c r="BV135" s="196"/>
      <c r="BW135" s="196"/>
      <c r="BX135" s="196"/>
      <c r="BY135" s="196"/>
      <c r="BZ135" s="19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c r="EA135" s="146"/>
      <c r="EB135" s="146"/>
      <c r="EC135" s="146"/>
      <c r="ED135" s="146"/>
      <c r="EE135" s="146"/>
      <c r="EF135" s="146"/>
      <c r="EG135" s="146"/>
      <c r="EH135" s="146"/>
      <c r="EI135" s="146"/>
      <c r="EJ135" s="146"/>
      <c r="EK135" s="146"/>
      <c r="EL135" s="146"/>
      <c r="EM135" s="146"/>
      <c r="EN135" s="146"/>
      <c r="EO135" s="146"/>
      <c r="EP135" s="146"/>
      <c r="EQ135" s="146"/>
      <c r="ER135" s="146"/>
      <c r="ES135" s="146"/>
      <c r="ET135" s="146"/>
      <c r="EU135" s="146"/>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c r="GU135" s="146"/>
      <c r="GV135" s="146"/>
      <c r="GW135" s="146"/>
      <c r="GX135" s="146"/>
      <c r="GY135" s="146"/>
      <c r="GZ135" s="146"/>
      <c r="HA135" s="146"/>
      <c r="HB135" s="146"/>
      <c r="HC135" s="146"/>
      <c r="HD135" s="146"/>
      <c r="HE135" s="146"/>
      <c r="HF135" s="146"/>
      <c r="HG135" s="146"/>
      <c r="HH135" s="146"/>
      <c r="HI135" s="146"/>
      <c r="HJ135" s="146"/>
      <c r="HK135" s="146"/>
      <c r="HL135" s="146"/>
      <c r="HM135" s="146"/>
      <c r="HN135" s="146"/>
      <c r="HO135" s="146"/>
      <c r="HP135" s="146"/>
      <c r="HQ135" s="146"/>
      <c r="HR135" s="146"/>
      <c r="HS135" s="146"/>
      <c r="HT135" s="146"/>
      <c r="HU135" s="146"/>
      <c r="HV135" s="146"/>
      <c r="HW135" s="146"/>
      <c r="HX135" s="146"/>
      <c r="HY135" s="146"/>
      <c r="HZ135" s="146"/>
      <c r="IA135" s="146"/>
    </row>
    <row r="136" spans="1:235" s="159" customFormat="1" ht="114" x14ac:dyDescent="0.25">
      <c r="A136" s="197">
        <v>11900</v>
      </c>
      <c r="B136" s="194" t="s">
        <v>349</v>
      </c>
      <c r="C136" s="198" t="s">
        <v>357</v>
      </c>
      <c r="D136" s="194" t="s">
        <v>146</v>
      </c>
      <c r="E136" s="954"/>
      <c r="F136" s="964"/>
      <c r="G136" s="954"/>
      <c r="H136" s="226">
        <v>0.02</v>
      </c>
      <c r="I136" s="954"/>
      <c r="J136" s="964"/>
      <c r="K136" s="958"/>
      <c r="L136" s="211">
        <v>0.02</v>
      </c>
      <c r="M136" s="964"/>
      <c r="N136" s="964"/>
      <c r="O136" s="964"/>
      <c r="P136" s="964"/>
      <c r="Q136" s="964"/>
      <c r="R136" s="201" t="s">
        <v>838</v>
      </c>
      <c r="S136" s="194" t="s">
        <v>99</v>
      </c>
      <c r="T136" s="211">
        <v>0.3</v>
      </c>
      <c r="U136" s="212" t="str">
        <f>+J135</f>
        <v>Venta de Cartera mayor a &gt;180 días con actos administrativos debidamente ejecutoriados a Central de Inversiones SA -CISA-</v>
      </c>
      <c r="V136" s="213">
        <f t="shared" si="43"/>
        <v>0</v>
      </c>
      <c r="W136" s="214" t="s">
        <v>117</v>
      </c>
      <c r="X136" s="286">
        <v>0.02</v>
      </c>
      <c r="Y136" s="282" t="s">
        <v>369</v>
      </c>
      <c r="Z136" s="283">
        <v>0</v>
      </c>
      <c r="AA136" s="279"/>
      <c r="AB136" s="279"/>
      <c r="AC136" s="280">
        <f t="shared" si="44"/>
        <v>0</v>
      </c>
      <c r="AD136" s="280" t="e">
        <f>+(AB136/Z136)</f>
        <v>#DIV/0!</v>
      </c>
      <c r="AE136" s="280">
        <f t="shared" si="31"/>
        <v>0</v>
      </c>
      <c r="AF136" s="280" t="e">
        <f t="shared" si="32"/>
        <v>#DIV/0!</v>
      </c>
      <c r="AG136" s="286">
        <v>0.02</v>
      </c>
      <c r="AH136" s="282" t="s">
        <v>369</v>
      </c>
      <c r="AI136" s="283">
        <v>0</v>
      </c>
      <c r="AJ136" s="279"/>
      <c r="AK136" s="279"/>
      <c r="AL136" s="280">
        <f t="shared" si="46"/>
        <v>0</v>
      </c>
      <c r="AM136" s="280" t="e">
        <f t="shared" si="33"/>
        <v>#DIV/0!</v>
      </c>
      <c r="AN136" s="280">
        <f t="shared" si="34"/>
        <v>0</v>
      </c>
      <c r="AO136" s="280" t="e">
        <f t="shared" si="35"/>
        <v>#DIV/0!</v>
      </c>
      <c r="AP136" s="286">
        <v>0</v>
      </c>
      <c r="AQ136" s="282" t="s">
        <v>369</v>
      </c>
      <c r="AR136" s="283">
        <v>0</v>
      </c>
      <c r="AS136" s="279"/>
      <c r="AT136" s="279"/>
      <c r="AU136" s="280" t="e">
        <f t="shared" si="47"/>
        <v>#DIV/0!</v>
      </c>
      <c r="AV136" s="280" t="e">
        <f>+(AT136/AR136)</f>
        <v>#DIV/0!</v>
      </c>
      <c r="AW136" s="287">
        <f t="shared" si="49"/>
        <v>0</v>
      </c>
      <c r="AX136" s="280" t="e">
        <f t="shared" si="50"/>
        <v>#DIV/0!</v>
      </c>
      <c r="AY136" s="286">
        <v>0</v>
      </c>
      <c r="AZ136" s="282" t="s">
        <v>369</v>
      </c>
      <c r="BA136" s="283">
        <v>0</v>
      </c>
      <c r="BB136" s="279"/>
      <c r="BC136" s="279"/>
      <c r="BD136" s="281" t="e">
        <f t="shared" si="51"/>
        <v>#DIV/0!</v>
      </c>
      <c r="BE136" s="281" t="e">
        <f t="shared" si="52"/>
        <v>#DIV/0!</v>
      </c>
      <c r="BF136" s="281">
        <f t="shared" si="53"/>
        <v>0</v>
      </c>
      <c r="BG136" s="281" t="e">
        <f t="shared" si="54"/>
        <v>#DIV/0!</v>
      </c>
      <c r="BH136" s="205">
        <f>IF(AND(X136=0,AA136=0),"No Prog ni Ejec",IF(X136=0,CONCATENATE("No Prog, Ejec=  ",AA136),AA136/X136))</f>
        <v>0</v>
      </c>
      <c r="BI136" s="205" t="str">
        <f>IF(AND(Z136=0,AB136=0),"No Prog ni Ejec",IF(Z136=0,CONCATENATE("No Prog, Ejec=  ",AB136),AB136/Z136))</f>
        <v>No Prog ni Ejec</v>
      </c>
      <c r="BJ136" s="205">
        <f t="shared" si="38"/>
        <v>0</v>
      </c>
      <c r="BK136" s="205" t="str">
        <f t="shared" si="39"/>
        <v>No Prog ni Ejec</v>
      </c>
      <c r="BL136" s="205" t="str">
        <f t="shared" si="55"/>
        <v>No Prog ni Ejec</v>
      </c>
      <c r="BM136" s="205" t="str">
        <f>IF(AND(AR136=0,AT136=0),"No Prog ni Ejec",IF(AR136=0,CONCATENATE("No Prog, Ejec=  ",AT136),AT136/AR136))</f>
        <v>No Prog ni Ejec</v>
      </c>
      <c r="BN136" s="205" t="str">
        <f t="shared" si="40"/>
        <v>No Prog ni Ejec</v>
      </c>
      <c r="BO136" s="205" t="str">
        <f>IF(AND(BA136=0,BC136=0),"No Prog ni Ejec",IF(BA136=0,CONCATENATE("No Prog, Ejec=  ",BC136),BC136/BA136))</f>
        <v>No Prog ni Ejec</v>
      </c>
      <c r="BP136" s="206" t="s">
        <v>842</v>
      </c>
      <c r="BQ136" s="277">
        <v>31</v>
      </c>
      <c r="BR136" s="208">
        <f t="shared" si="42"/>
        <v>0.04</v>
      </c>
      <c r="BS136" s="219" t="str">
        <f t="shared" si="57"/>
        <v>Venta de Cartera mayor a &gt;180 días con actos administrativos debidamente ejecutoriados a Central de Inversiones SA -CISA-</v>
      </c>
      <c r="BT136" s="195">
        <f t="shared" si="30"/>
        <v>0</v>
      </c>
      <c r="BU136" s="196"/>
      <c r="BV136" s="196"/>
      <c r="BW136" s="196"/>
      <c r="BX136" s="196"/>
      <c r="BY136" s="196"/>
      <c r="BZ136" s="196"/>
      <c r="CA136" s="146"/>
      <c r="CB136" s="146"/>
      <c r="CC136" s="146"/>
      <c r="CD136" s="146"/>
      <c r="CE136" s="146"/>
      <c r="CF136" s="146"/>
      <c r="CG136" s="146"/>
      <c r="CH136" s="146"/>
      <c r="CI136" s="146"/>
      <c r="CJ136" s="146"/>
      <c r="CK136" s="146"/>
      <c r="CL136" s="146"/>
      <c r="CM136" s="146"/>
      <c r="CN136" s="146"/>
      <c r="CO136" s="146"/>
      <c r="CP136" s="146"/>
      <c r="CQ136" s="146"/>
      <c r="CR136" s="146"/>
      <c r="CS136" s="146"/>
      <c r="CT136" s="146"/>
      <c r="CU136" s="146"/>
      <c r="CV136" s="146"/>
      <c r="CW136" s="146"/>
      <c r="CX136" s="146"/>
      <c r="CY136" s="146"/>
      <c r="CZ136" s="146"/>
      <c r="DA136" s="146"/>
      <c r="DB136" s="146"/>
      <c r="DC136" s="146"/>
      <c r="DD136" s="146"/>
      <c r="DE136" s="146"/>
      <c r="DF136" s="146"/>
      <c r="DG136" s="146"/>
      <c r="DH136" s="146"/>
      <c r="DI136" s="146"/>
      <c r="DJ136" s="146"/>
      <c r="DK136" s="146"/>
      <c r="DL136" s="146"/>
      <c r="DM136" s="146"/>
      <c r="DN136" s="146"/>
      <c r="DO136" s="146"/>
      <c r="DP136" s="146"/>
      <c r="DQ136" s="146"/>
      <c r="DR136" s="146"/>
      <c r="DS136" s="146"/>
      <c r="DT136" s="146"/>
      <c r="DU136" s="146"/>
      <c r="DV136" s="146"/>
      <c r="DW136" s="146"/>
      <c r="DX136" s="146"/>
      <c r="DY136" s="146"/>
      <c r="DZ136" s="146"/>
      <c r="EA136" s="146"/>
      <c r="EB136" s="146"/>
      <c r="EC136" s="146"/>
      <c r="ED136" s="146"/>
      <c r="EE136" s="146"/>
      <c r="EF136" s="146"/>
      <c r="EG136" s="146"/>
      <c r="EH136" s="146"/>
      <c r="EI136" s="146"/>
      <c r="EJ136" s="146"/>
      <c r="EK136" s="146"/>
      <c r="EL136" s="146"/>
      <c r="EM136" s="146"/>
      <c r="EN136" s="146"/>
      <c r="EO136" s="146"/>
      <c r="EP136" s="146"/>
      <c r="EQ136" s="146"/>
      <c r="ER136" s="146"/>
      <c r="ES136" s="146"/>
      <c r="ET136" s="146"/>
      <c r="EU136" s="146"/>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c r="GU136" s="146"/>
      <c r="GV136" s="146"/>
      <c r="GW136" s="146"/>
      <c r="GX136" s="146"/>
      <c r="GY136" s="146"/>
      <c r="GZ136" s="146"/>
      <c r="HA136" s="146"/>
      <c r="HB136" s="146"/>
      <c r="HC136" s="146"/>
      <c r="HD136" s="146"/>
      <c r="HE136" s="146"/>
      <c r="HF136" s="146"/>
      <c r="HG136" s="146"/>
      <c r="HH136" s="146"/>
      <c r="HI136" s="146"/>
      <c r="HJ136" s="146"/>
      <c r="HK136" s="146"/>
      <c r="HL136" s="146"/>
      <c r="HM136" s="146"/>
      <c r="HN136" s="146"/>
      <c r="HO136" s="146"/>
      <c r="HP136" s="146"/>
      <c r="HQ136" s="146"/>
      <c r="HR136" s="146"/>
      <c r="HS136" s="146"/>
      <c r="HT136" s="146"/>
      <c r="HU136" s="146"/>
      <c r="HV136" s="146"/>
      <c r="HW136" s="146"/>
      <c r="HX136" s="146"/>
      <c r="HY136" s="146"/>
      <c r="HZ136" s="146"/>
      <c r="IA136" s="146"/>
    </row>
    <row r="137" spans="1:235" s="155" customFormat="1" ht="71.25" x14ac:dyDescent="0.25">
      <c r="A137" s="197">
        <v>11900</v>
      </c>
      <c r="B137" s="194" t="s">
        <v>349</v>
      </c>
      <c r="C137" s="198" t="s">
        <v>357</v>
      </c>
      <c r="D137" s="194" t="s">
        <v>146</v>
      </c>
      <c r="E137" s="198" t="s">
        <v>450</v>
      </c>
      <c r="F137" s="194" t="s">
        <v>449</v>
      </c>
      <c r="G137" s="209" t="s">
        <v>123</v>
      </c>
      <c r="H137" s="216">
        <v>1</v>
      </c>
      <c r="I137" s="198" t="s">
        <v>464</v>
      </c>
      <c r="J137" s="194" t="s">
        <v>840</v>
      </c>
      <c r="K137" s="210">
        <v>55760808</v>
      </c>
      <c r="L137" s="211">
        <v>1</v>
      </c>
      <c r="M137" s="194" t="s">
        <v>46</v>
      </c>
      <c r="N137" s="194" t="s">
        <v>74</v>
      </c>
      <c r="O137" s="194" t="s">
        <v>21</v>
      </c>
      <c r="P137" s="194" t="s">
        <v>36</v>
      </c>
      <c r="Q137" s="194" t="s">
        <v>229</v>
      </c>
      <c r="R137" s="194" t="s">
        <v>839</v>
      </c>
      <c r="S137" s="194" t="s">
        <v>99</v>
      </c>
      <c r="T137" s="211">
        <v>1</v>
      </c>
      <c r="U137" s="212" t="str">
        <f t="shared" si="43"/>
        <v>Actos administrativos mediante los cuales se establecen los fallecidos, incobrables, cancelados y revocados, recultado del proceso de depuración</v>
      </c>
      <c r="V137" s="213">
        <f t="shared" si="43"/>
        <v>55760808</v>
      </c>
      <c r="W137" s="222" t="s">
        <v>114</v>
      </c>
      <c r="X137" s="216">
        <v>0.25</v>
      </c>
      <c r="Y137" s="214" t="s">
        <v>452</v>
      </c>
      <c r="Z137" s="210">
        <v>13940202</v>
      </c>
      <c r="AA137" s="196"/>
      <c r="AB137" s="196"/>
      <c r="AC137" s="204">
        <f t="shared" si="44"/>
        <v>0</v>
      </c>
      <c r="AD137" s="204">
        <f t="shared" si="45"/>
        <v>0</v>
      </c>
      <c r="AE137" s="204">
        <f t="shared" si="31"/>
        <v>0</v>
      </c>
      <c r="AF137" s="204">
        <f t="shared" si="32"/>
        <v>0</v>
      </c>
      <c r="AG137" s="216">
        <v>0.25</v>
      </c>
      <c r="AH137" s="214" t="s">
        <v>452</v>
      </c>
      <c r="AI137" s="210">
        <v>13940202</v>
      </c>
      <c r="AJ137" s="196"/>
      <c r="AK137" s="196"/>
      <c r="AL137" s="204">
        <f t="shared" si="46"/>
        <v>0</v>
      </c>
      <c r="AM137" s="204">
        <f t="shared" si="33"/>
        <v>0</v>
      </c>
      <c r="AN137" s="204">
        <f t="shared" si="34"/>
        <v>0</v>
      </c>
      <c r="AO137" s="204">
        <f t="shared" si="35"/>
        <v>0</v>
      </c>
      <c r="AP137" s="216">
        <v>0.25</v>
      </c>
      <c r="AQ137" s="214" t="s">
        <v>452</v>
      </c>
      <c r="AR137" s="210">
        <v>13940202</v>
      </c>
      <c r="AS137" s="196"/>
      <c r="AT137" s="196"/>
      <c r="AU137" s="204">
        <f t="shared" si="47"/>
        <v>0</v>
      </c>
      <c r="AV137" s="204">
        <f t="shared" si="48"/>
        <v>0</v>
      </c>
      <c r="AW137" s="204">
        <f t="shared" si="49"/>
        <v>0</v>
      </c>
      <c r="AX137" s="204">
        <f t="shared" si="50"/>
        <v>0</v>
      </c>
      <c r="AY137" s="216">
        <v>0.25</v>
      </c>
      <c r="AZ137" s="214" t="s">
        <v>452</v>
      </c>
      <c r="BA137" s="210">
        <v>13940202</v>
      </c>
      <c r="BB137" s="196"/>
      <c r="BC137" s="196"/>
      <c r="BD137" s="216">
        <f t="shared" si="51"/>
        <v>0</v>
      </c>
      <c r="BE137" s="216">
        <f t="shared" si="52"/>
        <v>0</v>
      </c>
      <c r="BF137" s="216">
        <f t="shared" si="53"/>
        <v>0</v>
      </c>
      <c r="BG137" s="216">
        <f t="shared" si="54"/>
        <v>0</v>
      </c>
      <c r="BH137" s="228">
        <f t="shared" si="36"/>
        <v>0</v>
      </c>
      <c r="BI137" s="228">
        <f t="shared" si="37"/>
        <v>0</v>
      </c>
      <c r="BJ137" s="228">
        <f t="shared" si="38"/>
        <v>0</v>
      </c>
      <c r="BK137" s="228">
        <f t="shared" si="39"/>
        <v>0</v>
      </c>
      <c r="BL137" s="228">
        <f t="shared" si="55"/>
        <v>0</v>
      </c>
      <c r="BM137" s="228">
        <f t="shared" si="56"/>
        <v>0</v>
      </c>
      <c r="BN137" s="228">
        <f t="shared" si="40"/>
        <v>0</v>
      </c>
      <c r="BO137" s="228">
        <f t="shared" si="41"/>
        <v>0</v>
      </c>
      <c r="BP137" s="206"/>
      <c r="BQ137" s="277">
        <v>32</v>
      </c>
      <c r="BR137" s="208">
        <f t="shared" si="42"/>
        <v>0.58333333333333337</v>
      </c>
      <c r="BS137" s="219" t="str">
        <f t="shared" si="57"/>
        <v>Actos administrativos mediante los cuales se establecen los fallecidos, incobrables, cancelados y revocados, recultado del proceso de depuración</v>
      </c>
      <c r="BT137" s="195">
        <f t="shared" si="30"/>
        <v>32527138</v>
      </c>
      <c r="BU137" s="196"/>
      <c r="BV137" s="196"/>
      <c r="BW137" s="196"/>
      <c r="BX137" s="196"/>
      <c r="BY137" s="196"/>
      <c r="BZ137" s="196"/>
      <c r="CA137" s="146"/>
      <c r="CB137" s="146"/>
      <c r="CC137" s="146"/>
      <c r="CD137" s="146"/>
      <c r="CE137" s="146"/>
      <c r="CF137" s="146"/>
      <c r="CG137" s="146"/>
      <c r="CH137" s="146"/>
      <c r="CI137" s="146"/>
      <c r="CJ137" s="146"/>
      <c r="CK137" s="146"/>
      <c r="CL137" s="146"/>
      <c r="CM137" s="146"/>
      <c r="CN137" s="146"/>
      <c r="CO137" s="146"/>
      <c r="CP137" s="146"/>
      <c r="CQ137" s="146"/>
      <c r="CR137" s="146"/>
      <c r="CS137" s="146"/>
      <c r="CT137" s="146"/>
      <c r="CU137" s="146"/>
      <c r="CV137" s="146"/>
      <c r="CW137" s="146"/>
      <c r="CX137" s="146"/>
      <c r="CY137" s="146"/>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46"/>
      <c r="EA137" s="146"/>
      <c r="EB137" s="146"/>
      <c r="EC137" s="146"/>
      <c r="ED137" s="146"/>
      <c r="EE137" s="146"/>
      <c r="EF137" s="146"/>
      <c r="EG137" s="146"/>
      <c r="EH137" s="146"/>
      <c r="EI137" s="146"/>
      <c r="EJ137" s="146"/>
      <c r="EK137" s="146"/>
      <c r="EL137" s="146"/>
      <c r="EM137" s="146"/>
      <c r="EN137" s="146"/>
      <c r="EO137" s="146"/>
      <c r="EP137" s="146"/>
      <c r="EQ137" s="146"/>
      <c r="ER137" s="146"/>
      <c r="ES137" s="146"/>
      <c r="ET137" s="146"/>
      <c r="EU137" s="146"/>
      <c r="EV137" s="146"/>
      <c r="EW137" s="146"/>
      <c r="EX137" s="146"/>
      <c r="EY137" s="146"/>
      <c r="EZ137" s="146"/>
      <c r="FA137" s="146"/>
      <c r="FB137" s="146"/>
      <c r="FC137" s="146"/>
      <c r="FD137" s="146"/>
      <c r="FE137" s="146"/>
      <c r="FF137" s="146"/>
      <c r="FG137" s="146"/>
      <c r="FH137" s="146"/>
      <c r="FI137" s="146"/>
      <c r="FJ137" s="146"/>
      <c r="FK137" s="146"/>
      <c r="FL137" s="146"/>
      <c r="FM137" s="146"/>
      <c r="FN137" s="146"/>
      <c r="FO137" s="146"/>
      <c r="FP137" s="146"/>
      <c r="FQ137" s="146"/>
      <c r="FR137" s="146"/>
      <c r="FS137" s="146"/>
      <c r="FT137" s="146"/>
      <c r="FU137" s="146"/>
      <c r="FV137" s="146"/>
      <c r="FW137" s="146"/>
      <c r="FX137" s="146"/>
      <c r="FY137" s="146"/>
      <c r="FZ137" s="146"/>
      <c r="GA137" s="146"/>
      <c r="GB137" s="146"/>
      <c r="GC137" s="146"/>
      <c r="GD137" s="146"/>
      <c r="GE137" s="146"/>
      <c r="GF137" s="146"/>
      <c r="GG137" s="146"/>
      <c r="GH137" s="146"/>
      <c r="GI137" s="146"/>
      <c r="GJ137" s="146"/>
      <c r="GK137" s="146"/>
      <c r="GL137" s="146"/>
      <c r="GM137" s="146"/>
      <c r="GN137" s="146"/>
      <c r="GO137" s="146"/>
      <c r="GP137" s="146"/>
      <c r="GQ137" s="146"/>
      <c r="GR137" s="146"/>
      <c r="GS137" s="146"/>
      <c r="GT137" s="146"/>
      <c r="GU137" s="146"/>
      <c r="GV137" s="146"/>
      <c r="GW137" s="146"/>
      <c r="GX137" s="146"/>
      <c r="GY137" s="146"/>
      <c r="GZ137" s="146"/>
      <c r="HA137" s="146"/>
      <c r="HB137" s="146"/>
      <c r="HC137" s="146"/>
      <c r="HD137" s="146"/>
      <c r="HE137" s="146"/>
      <c r="HF137" s="146"/>
      <c r="HG137" s="146"/>
      <c r="HH137" s="146"/>
      <c r="HI137" s="146"/>
      <c r="HJ137" s="146"/>
      <c r="HK137" s="146"/>
      <c r="HL137" s="146"/>
      <c r="HM137" s="146"/>
      <c r="HN137" s="146"/>
      <c r="HO137" s="146"/>
      <c r="HP137" s="146"/>
      <c r="HQ137" s="146"/>
      <c r="HR137" s="146"/>
      <c r="HS137" s="146"/>
      <c r="HT137" s="146"/>
      <c r="HU137" s="146"/>
      <c r="HV137" s="146"/>
      <c r="HW137" s="146"/>
      <c r="HX137" s="146"/>
      <c r="HY137" s="146"/>
      <c r="HZ137" s="146"/>
      <c r="IA137" s="146"/>
    </row>
    <row r="138" spans="1:235" s="153" customFormat="1" ht="57" x14ac:dyDescent="0.25">
      <c r="A138" s="197">
        <v>12000</v>
      </c>
      <c r="B138" s="194" t="s">
        <v>30</v>
      </c>
      <c r="C138" s="198" t="s">
        <v>131</v>
      </c>
      <c r="D138" s="194" t="s">
        <v>153</v>
      </c>
      <c r="E138" s="198" t="s">
        <v>132</v>
      </c>
      <c r="F138" s="194" t="s">
        <v>133</v>
      </c>
      <c r="G138" s="209" t="s">
        <v>124</v>
      </c>
      <c r="H138" s="198">
        <v>4</v>
      </c>
      <c r="I138" s="198" t="s">
        <v>143</v>
      </c>
      <c r="J138" s="194" t="s">
        <v>24</v>
      </c>
      <c r="K138" s="210">
        <v>0</v>
      </c>
      <c r="L138" s="211">
        <v>1</v>
      </c>
      <c r="M138" s="194" t="s">
        <v>51</v>
      </c>
      <c r="N138" s="194" t="s">
        <v>68</v>
      </c>
      <c r="O138" s="194" t="s">
        <v>21</v>
      </c>
      <c r="P138" s="194" t="s">
        <v>36</v>
      </c>
      <c r="Q138" s="194" t="s">
        <v>75</v>
      </c>
      <c r="R138" s="194" t="s">
        <v>631</v>
      </c>
      <c r="S138" s="194" t="s">
        <v>98</v>
      </c>
      <c r="T138" s="221">
        <v>4</v>
      </c>
      <c r="U138" s="212" t="str">
        <f t="shared" si="43"/>
        <v>Reportar el cumplimiento del Plan de Acción de la Dependencia</v>
      </c>
      <c r="V138" s="213">
        <f t="shared" si="43"/>
        <v>0</v>
      </c>
      <c r="W138" s="214" t="s">
        <v>117</v>
      </c>
      <c r="X138" s="215">
        <v>1</v>
      </c>
      <c r="Y138" s="214" t="s">
        <v>24</v>
      </c>
      <c r="Z138" s="210">
        <v>0</v>
      </c>
      <c r="AA138" s="196"/>
      <c r="AB138" s="196"/>
      <c r="AC138" s="204">
        <f t="shared" si="44"/>
        <v>0</v>
      </c>
      <c r="AD138" s="204" t="e">
        <f t="shared" si="45"/>
        <v>#DIV/0!</v>
      </c>
      <c r="AE138" s="204">
        <f t="shared" si="31"/>
        <v>0</v>
      </c>
      <c r="AF138" s="204" t="e">
        <f t="shared" si="32"/>
        <v>#DIV/0!</v>
      </c>
      <c r="AG138" s="215">
        <v>1</v>
      </c>
      <c r="AH138" s="214" t="s">
        <v>24</v>
      </c>
      <c r="AI138" s="210">
        <v>0</v>
      </c>
      <c r="AJ138" s="196"/>
      <c r="AK138" s="196"/>
      <c r="AL138" s="204">
        <f t="shared" si="46"/>
        <v>0</v>
      </c>
      <c r="AM138" s="204" t="e">
        <f t="shared" si="33"/>
        <v>#DIV/0!</v>
      </c>
      <c r="AN138" s="204">
        <f t="shared" si="34"/>
        <v>0</v>
      </c>
      <c r="AO138" s="204" t="e">
        <f t="shared" si="35"/>
        <v>#DIV/0!</v>
      </c>
      <c r="AP138" s="215">
        <v>1</v>
      </c>
      <c r="AQ138" s="214" t="s">
        <v>24</v>
      </c>
      <c r="AR138" s="210">
        <v>0</v>
      </c>
      <c r="AS138" s="196"/>
      <c r="AT138" s="196"/>
      <c r="AU138" s="204">
        <f t="shared" si="47"/>
        <v>0</v>
      </c>
      <c r="AV138" s="204" t="e">
        <f t="shared" si="48"/>
        <v>#DIV/0!</v>
      </c>
      <c r="AW138" s="204">
        <f t="shared" si="49"/>
        <v>0</v>
      </c>
      <c r="AX138" s="204" t="e">
        <f t="shared" si="50"/>
        <v>#DIV/0!</v>
      </c>
      <c r="AY138" s="215">
        <v>1</v>
      </c>
      <c r="AZ138" s="214" t="s">
        <v>24</v>
      </c>
      <c r="BA138" s="210">
        <v>0</v>
      </c>
      <c r="BB138" s="196"/>
      <c r="BC138" s="196"/>
      <c r="BD138" s="216">
        <f t="shared" si="51"/>
        <v>0</v>
      </c>
      <c r="BE138" s="216" t="e">
        <f t="shared" si="52"/>
        <v>#DIV/0!</v>
      </c>
      <c r="BF138" s="216">
        <f t="shared" si="53"/>
        <v>0</v>
      </c>
      <c r="BG138" s="216" t="e">
        <f t="shared" si="54"/>
        <v>#DIV/0!</v>
      </c>
      <c r="BH138" s="217">
        <f t="shared" si="36"/>
        <v>0</v>
      </c>
      <c r="BI138" s="217" t="str">
        <f t="shared" si="37"/>
        <v>No Prog ni Ejec</v>
      </c>
      <c r="BJ138" s="217">
        <f t="shared" si="38"/>
        <v>0</v>
      </c>
      <c r="BK138" s="217" t="str">
        <f t="shared" si="39"/>
        <v>No Prog ni Ejec</v>
      </c>
      <c r="BL138" s="217">
        <f t="shared" si="55"/>
        <v>0</v>
      </c>
      <c r="BM138" s="217" t="str">
        <f t="shared" si="56"/>
        <v>No Prog ni Ejec</v>
      </c>
      <c r="BN138" s="217">
        <f t="shared" si="40"/>
        <v>0</v>
      </c>
      <c r="BO138" s="217" t="str">
        <f t="shared" si="41"/>
        <v>No Prog ni Ejec</v>
      </c>
      <c r="BP138" s="206"/>
      <c r="BQ138" s="277">
        <v>5</v>
      </c>
      <c r="BR138" s="218">
        <f t="shared" si="42"/>
        <v>2.3333333333333335</v>
      </c>
      <c r="BS138" s="219" t="str">
        <f t="shared" si="57"/>
        <v>Reportar el cumplimiento del Plan de Acción de la Dependencia</v>
      </c>
      <c r="BT138" s="195">
        <f t="shared" ref="BT138:BT150" si="58">+(Z138+AI138+(AR138/3))</f>
        <v>0</v>
      </c>
      <c r="BU138" s="196"/>
      <c r="BV138" s="196"/>
      <c r="BW138" s="196"/>
      <c r="BX138" s="196"/>
      <c r="BY138" s="196"/>
      <c r="BZ138" s="196"/>
      <c r="CA138" s="146"/>
      <c r="CB138" s="146"/>
      <c r="CC138" s="146"/>
      <c r="CD138" s="146"/>
      <c r="CE138" s="146"/>
      <c r="CF138" s="146"/>
      <c r="CG138" s="146"/>
      <c r="CH138" s="146"/>
      <c r="CI138" s="146"/>
      <c r="CJ138" s="146"/>
      <c r="CK138" s="146"/>
      <c r="CL138" s="146"/>
      <c r="CM138" s="146"/>
      <c r="CN138" s="146"/>
      <c r="CO138" s="146"/>
      <c r="CP138" s="146"/>
      <c r="CQ138" s="146"/>
      <c r="CR138" s="146"/>
      <c r="CS138" s="146"/>
      <c r="CT138" s="146"/>
      <c r="CU138" s="146"/>
      <c r="CV138" s="146"/>
      <c r="CW138" s="146"/>
      <c r="CX138" s="146"/>
      <c r="CY138" s="146"/>
      <c r="CZ138" s="146"/>
      <c r="DA138" s="146"/>
      <c r="DB138" s="146"/>
      <c r="DC138" s="146"/>
      <c r="DD138" s="146"/>
      <c r="DE138" s="146"/>
      <c r="DF138" s="146"/>
      <c r="DG138" s="146"/>
      <c r="DH138" s="146"/>
      <c r="DI138" s="146"/>
      <c r="DJ138" s="146"/>
      <c r="DK138" s="146"/>
      <c r="DL138" s="146"/>
      <c r="DM138" s="146"/>
      <c r="DN138" s="146"/>
      <c r="DO138" s="146"/>
      <c r="DP138" s="146"/>
      <c r="DQ138" s="146"/>
      <c r="DR138" s="146"/>
      <c r="DS138" s="146"/>
      <c r="DT138" s="146"/>
      <c r="DU138" s="146"/>
      <c r="DV138" s="146"/>
      <c r="DW138" s="146"/>
      <c r="DX138" s="146"/>
      <c r="DY138" s="146"/>
      <c r="DZ138" s="146"/>
      <c r="EA138" s="146"/>
      <c r="EB138" s="146"/>
      <c r="EC138" s="146"/>
      <c r="ED138" s="146"/>
      <c r="EE138" s="146"/>
      <c r="EF138" s="146"/>
      <c r="EG138" s="146"/>
      <c r="EH138" s="146"/>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6"/>
      <c r="FU138" s="146"/>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6"/>
      <c r="GQ138" s="146"/>
      <c r="GR138" s="146"/>
      <c r="GS138" s="146"/>
      <c r="GT138" s="146"/>
      <c r="GU138" s="146"/>
      <c r="GV138" s="146"/>
      <c r="GW138" s="146"/>
      <c r="GX138" s="146"/>
      <c r="GY138" s="146"/>
      <c r="GZ138" s="146"/>
      <c r="HA138" s="146"/>
      <c r="HB138" s="146"/>
      <c r="HC138" s="146"/>
      <c r="HD138" s="146"/>
      <c r="HE138" s="146"/>
      <c r="HF138" s="146"/>
      <c r="HG138" s="146"/>
      <c r="HH138" s="146"/>
      <c r="HI138" s="146"/>
      <c r="HJ138" s="146"/>
      <c r="HK138" s="146"/>
      <c r="HL138" s="146"/>
      <c r="HM138" s="146"/>
      <c r="HN138" s="146"/>
      <c r="HO138" s="146"/>
      <c r="HP138" s="146"/>
      <c r="HQ138" s="146"/>
      <c r="HR138" s="146"/>
      <c r="HS138" s="146"/>
      <c r="HT138" s="146"/>
      <c r="HU138" s="146"/>
      <c r="HV138" s="146"/>
      <c r="HW138" s="146"/>
      <c r="HX138" s="146"/>
      <c r="HY138" s="146"/>
      <c r="HZ138" s="146"/>
      <c r="IA138" s="146"/>
    </row>
    <row r="139" spans="1:235" s="154" customFormat="1" ht="99.75" x14ac:dyDescent="0.25">
      <c r="A139" s="197">
        <v>12000</v>
      </c>
      <c r="B139" s="194" t="s">
        <v>30</v>
      </c>
      <c r="C139" s="198" t="s">
        <v>355</v>
      </c>
      <c r="D139" s="194" t="s">
        <v>256</v>
      </c>
      <c r="E139" s="198" t="s">
        <v>356</v>
      </c>
      <c r="F139" s="194" t="s">
        <v>134</v>
      </c>
      <c r="G139" s="209" t="s">
        <v>124</v>
      </c>
      <c r="H139" s="198">
        <v>4</v>
      </c>
      <c r="I139" s="198" t="s">
        <v>539</v>
      </c>
      <c r="J139" s="194" t="s">
        <v>683</v>
      </c>
      <c r="K139" s="210">
        <v>0</v>
      </c>
      <c r="L139" s="211">
        <v>1</v>
      </c>
      <c r="M139" s="194" t="s">
        <v>51</v>
      </c>
      <c r="N139" s="194" t="s">
        <v>68</v>
      </c>
      <c r="O139" s="194" t="s">
        <v>21</v>
      </c>
      <c r="P139" s="194" t="s">
        <v>36</v>
      </c>
      <c r="Q139" s="194" t="s">
        <v>75</v>
      </c>
      <c r="R139" s="194" t="s">
        <v>628</v>
      </c>
      <c r="S139" s="194" t="s">
        <v>98</v>
      </c>
      <c r="T139" s="221">
        <v>4</v>
      </c>
      <c r="U139" s="212" t="str">
        <f t="shared" si="43"/>
        <v xml:space="preserve">Reportar el cumplimiento de la ejecución del Plan de Acción </v>
      </c>
      <c r="V139" s="213">
        <f t="shared" si="43"/>
        <v>0</v>
      </c>
      <c r="W139" s="214" t="s">
        <v>117</v>
      </c>
      <c r="X139" s="215">
        <v>1</v>
      </c>
      <c r="Y139" s="214" t="s">
        <v>683</v>
      </c>
      <c r="Z139" s="210">
        <v>0</v>
      </c>
      <c r="AA139" s="196"/>
      <c r="AB139" s="196"/>
      <c r="AC139" s="204">
        <f t="shared" si="44"/>
        <v>0</v>
      </c>
      <c r="AD139" s="204" t="e">
        <f t="shared" si="45"/>
        <v>#DIV/0!</v>
      </c>
      <c r="AE139" s="204">
        <f t="shared" si="31"/>
        <v>0</v>
      </c>
      <c r="AF139" s="204" t="e">
        <f t="shared" si="32"/>
        <v>#DIV/0!</v>
      </c>
      <c r="AG139" s="215">
        <v>1</v>
      </c>
      <c r="AH139" s="214" t="s">
        <v>683</v>
      </c>
      <c r="AI139" s="210">
        <v>0</v>
      </c>
      <c r="AJ139" s="196"/>
      <c r="AK139" s="196"/>
      <c r="AL139" s="204">
        <f t="shared" si="46"/>
        <v>0</v>
      </c>
      <c r="AM139" s="204" t="e">
        <f t="shared" si="33"/>
        <v>#DIV/0!</v>
      </c>
      <c r="AN139" s="204">
        <f t="shared" si="34"/>
        <v>0</v>
      </c>
      <c r="AO139" s="204" t="e">
        <f t="shared" si="35"/>
        <v>#DIV/0!</v>
      </c>
      <c r="AP139" s="215">
        <v>1</v>
      </c>
      <c r="AQ139" s="214" t="s">
        <v>683</v>
      </c>
      <c r="AR139" s="210">
        <v>0</v>
      </c>
      <c r="AS139" s="196"/>
      <c r="AT139" s="196"/>
      <c r="AU139" s="204">
        <f t="shared" si="47"/>
        <v>0</v>
      </c>
      <c r="AV139" s="204" t="e">
        <f t="shared" si="48"/>
        <v>#DIV/0!</v>
      </c>
      <c r="AW139" s="204">
        <f t="shared" si="49"/>
        <v>0</v>
      </c>
      <c r="AX139" s="204" t="e">
        <f t="shared" si="50"/>
        <v>#DIV/0!</v>
      </c>
      <c r="AY139" s="215">
        <v>1</v>
      </c>
      <c r="AZ139" s="214" t="s">
        <v>683</v>
      </c>
      <c r="BA139" s="210">
        <v>0</v>
      </c>
      <c r="BB139" s="196"/>
      <c r="BC139" s="196"/>
      <c r="BD139" s="216">
        <f t="shared" si="51"/>
        <v>0</v>
      </c>
      <c r="BE139" s="216" t="e">
        <f t="shared" si="52"/>
        <v>#DIV/0!</v>
      </c>
      <c r="BF139" s="216">
        <f t="shared" si="53"/>
        <v>0</v>
      </c>
      <c r="BG139" s="216" t="e">
        <f t="shared" si="54"/>
        <v>#DIV/0!</v>
      </c>
      <c r="BH139" s="207">
        <f t="shared" si="36"/>
        <v>0</v>
      </c>
      <c r="BI139" s="207" t="str">
        <f t="shared" si="37"/>
        <v>No Prog ni Ejec</v>
      </c>
      <c r="BJ139" s="207">
        <f t="shared" si="38"/>
        <v>0</v>
      </c>
      <c r="BK139" s="207" t="str">
        <f t="shared" si="39"/>
        <v>No Prog ni Ejec</v>
      </c>
      <c r="BL139" s="207">
        <f t="shared" si="55"/>
        <v>0</v>
      </c>
      <c r="BM139" s="207" t="str">
        <f t="shared" si="56"/>
        <v>No Prog ni Ejec</v>
      </c>
      <c r="BN139" s="207">
        <f t="shared" si="40"/>
        <v>0</v>
      </c>
      <c r="BO139" s="207" t="str">
        <f t="shared" si="41"/>
        <v>No Prog ni Ejec</v>
      </c>
      <c r="BP139" s="206"/>
      <c r="BQ139" s="277">
        <v>5</v>
      </c>
      <c r="BR139" s="218">
        <f t="shared" ref="BR139:BR150" si="59">+(X139+AG139+(AP139/3))</f>
        <v>2.3333333333333335</v>
      </c>
      <c r="BS139" s="219" t="str">
        <f t="shared" si="57"/>
        <v xml:space="preserve">Reportar el cumplimiento de la ejecución del Plan de Acción </v>
      </c>
      <c r="BT139" s="195">
        <f t="shared" si="58"/>
        <v>0</v>
      </c>
      <c r="BU139" s="196"/>
      <c r="BV139" s="196"/>
      <c r="BW139" s="196"/>
      <c r="BX139" s="196"/>
      <c r="BY139" s="196"/>
      <c r="BZ139" s="196"/>
      <c r="CA139" s="146"/>
      <c r="CB139" s="146"/>
      <c r="CC139" s="146"/>
      <c r="CD139" s="146"/>
      <c r="CE139" s="146"/>
      <c r="CF139" s="146"/>
      <c r="CG139" s="146"/>
      <c r="CH139" s="146"/>
      <c r="CI139" s="146"/>
      <c r="CJ139" s="146"/>
      <c r="CK139" s="146"/>
      <c r="CL139" s="146"/>
      <c r="CM139" s="146"/>
      <c r="CN139" s="146"/>
      <c r="CO139" s="146"/>
      <c r="CP139" s="146"/>
      <c r="CQ139" s="146"/>
      <c r="CR139" s="146"/>
      <c r="CS139" s="146"/>
      <c r="CT139" s="146"/>
      <c r="CU139" s="146"/>
      <c r="CV139" s="146"/>
      <c r="CW139" s="146"/>
      <c r="CX139" s="146"/>
      <c r="CY139" s="146"/>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146"/>
      <c r="DZ139" s="146"/>
      <c r="EA139" s="146"/>
      <c r="EB139" s="146"/>
      <c r="EC139" s="146"/>
      <c r="ED139" s="146"/>
      <c r="EE139" s="146"/>
      <c r="EF139" s="146"/>
      <c r="EG139" s="146"/>
      <c r="EH139" s="146"/>
      <c r="EI139" s="146"/>
      <c r="EJ139" s="146"/>
      <c r="EK139" s="146"/>
      <c r="EL139" s="146"/>
      <c r="EM139" s="146"/>
      <c r="EN139" s="146"/>
      <c r="EO139" s="146"/>
      <c r="EP139" s="146"/>
      <c r="EQ139" s="146"/>
      <c r="ER139" s="146"/>
      <c r="ES139" s="146"/>
      <c r="ET139" s="146"/>
      <c r="EU139" s="146"/>
      <c r="EV139" s="146"/>
      <c r="EW139" s="146"/>
      <c r="EX139" s="146"/>
      <c r="EY139" s="146"/>
      <c r="EZ139" s="146"/>
      <c r="FA139" s="146"/>
      <c r="FB139" s="146"/>
      <c r="FC139" s="146"/>
      <c r="FD139" s="146"/>
      <c r="FE139" s="146"/>
      <c r="FF139" s="146"/>
      <c r="FG139" s="146"/>
      <c r="FH139" s="146"/>
      <c r="FI139" s="146"/>
      <c r="FJ139" s="146"/>
      <c r="FK139" s="146"/>
      <c r="FL139" s="146"/>
      <c r="FM139" s="146"/>
      <c r="FN139" s="146"/>
      <c r="FO139" s="146"/>
      <c r="FP139" s="146"/>
      <c r="FQ139" s="146"/>
      <c r="FR139" s="146"/>
      <c r="FS139" s="146"/>
      <c r="FT139" s="146"/>
      <c r="FU139" s="146"/>
      <c r="FV139" s="146"/>
      <c r="FW139" s="146"/>
      <c r="FX139" s="146"/>
      <c r="FY139" s="146"/>
      <c r="FZ139" s="146"/>
      <c r="GA139" s="146"/>
      <c r="GB139" s="146"/>
      <c r="GC139" s="146"/>
      <c r="GD139" s="146"/>
      <c r="GE139" s="146"/>
      <c r="GF139" s="146"/>
      <c r="GG139" s="146"/>
      <c r="GH139" s="146"/>
      <c r="GI139" s="146"/>
      <c r="GJ139" s="146"/>
      <c r="GK139" s="146"/>
      <c r="GL139" s="146"/>
      <c r="GM139" s="146"/>
      <c r="GN139" s="146"/>
      <c r="GO139" s="146"/>
      <c r="GP139" s="146"/>
      <c r="GQ139" s="146"/>
      <c r="GR139" s="146"/>
      <c r="GS139" s="146"/>
      <c r="GT139" s="146"/>
      <c r="GU139" s="146"/>
      <c r="GV139" s="146"/>
      <c r="GW139" s="146"/>
      <c r="GX139" s="146"/>
      <c r="GY139" s="146"/>
      <c r="GZ139" s="146"/>
      <c r="HA139" s="146"/>
      <c r="HB139" s="146"/>
      <c r="HC139" s="146"/>
      <c r="HD139" s="146"/>
      <c r="HE139" s="146"/>
      <c r="HF139" s="146"/>
      <c r="HG139" s="146"/>
      <c r="HH139" s="146"/>
      <c r="HI139" s="146"/>
      <c r="HJ139" s="146"/>
      <c r="HK139" s="146"/>
      <c r="HL139" s="146"/>
      <c r="HM139" s="146"/>
      <c r="HN139" s="146"/>
      <c r="HO139" s="146"/>
      <c r="HP139" s="146"/>
      <c r="HQ139" s="146"/>
      <c r="HR139" s="146"/>
      <c r="HS139" s="146"/>
      <c r="HT139" s="146"/>
      <c r="HU139" s="146"/>
      <c r="HV139" s="146"/>
      <c r="HW139" s="146"/>
      <c r="HX139" s="146"/>
      <c r="HY139" s="146"/>
      <c r="HZ139" s="146"/>
      <c r="IA139" s="146"/>
    </row>
    <row r="140" spans="1:235" s="154" customFormat="1" ht="99.75" x14ac:dyDescent="0.25">
      <c r="A140" s="197">
        <v>12000</v>
      </c>
      <c r="B140" s="194" t="s">
        <v>30</v>
      </c>
      <c r="C140" s="198" t="s">
        <v>355</v>
      </c>
      <c r="D140" s="194" t="s">
        <v>256</v>
      </c>
      <c r="E140" s="198" t="s">
        <v>540</v>
      </c>
      <c r="F140" s="194" t="s">
        <v>136</v>
      </c>
      <c r="G140" s="209" t="s">
        <v>123</v>
      </c>
      <c r="H140" s="216">
        <v>1</v>
      </c>
      <c r="I140" s="198" t="s">
        <v>541</v>
      </c>
      <c r="J140" s="194" t="s">
        <v>135</v>
      </c>
      <c r="K140" s="210">
        <v>61642068</v>
      </c>
      <c r="L140" s="211">
        <v>1</v>
      </c>
      <c r="M140" s="194" t="s">
        <v>51</v>
      </c>
      <c r="N140" s="194" t="s">
        <v>68</v>
      </c>
      <c r="O140" s="194" t="s">
        <v>21</v>
      </c>
      <c r="P140" s="194" t="s">
        <v>36</v>
      </c>
      <c r="Q140" s="194" t="s">
        <v>75</v>
      </c>
      <c r="R140" s="194" t="s">
        <v>182</v>
      </c>
      <c r="S140" s="194" t="s">
        <v>99</v>
      </c>
      <c r="T140" s="216">
        <v>1</v>
      </c>
      <c r="U140" s="212" t="str">
        <f t="shared" si="43"/>
        <v>Asesorar y apoyar en la implementación de MIPG</v>
      </c>
      <c r="V140" s="213">
        <f t="shared" si="43"/>
        <v>61642068</v>
      </c>
      <c r="W140" s="222" t="s">
        <v>114</v>
      </c>
      <c r="X140" s="216">
        <v>0.25</v>
      </c>
      <c r="Y140" s="214" t="s">
        <v>135</v>
      </c>
      <c r="Z140" s="210">
        <v>15410517</v>
      </c>
      <c r="AA140" s="196"/>
      <c r="AB140" s="196"/>
      <c r="AC140" s="204">
        <f t="shared" si="44"/>
        <v>0</v>
      </c>
      <c r="AD140" s="204">
        <f t="shared" si="45"/>
        <v>0</v>
      </c>
      <c r="AE140" s="204">
        <f t="shared" si="31"/>
        <v>0</v>
      </c>
      <c r="AF140" s="204">
        <f t="shared" si="32"/>
        <v>0</v>
      </c>
      <c r="AG140" s="216">
        <v>0.25</v>
      </c>
      <c r="AH140" s="214" t="s">
        <v>135</v>
      </c>
      <c r="AI140" s="210">
        <v>15410517</v>
      </c>
      <c r="AJ140" s="196"/>
      <c r="AK140" s="196"/>
      <c r="AL140" s="204">
        <f t="shared" si="46"/>
        <v>0</v>
      </c>
      <c r="AM140" s="204">
        <f t="shared" si="33"/>
        <v>0</v>
      </c>
      <c r="AN140" s="204">
        <f t="shared" si="34"/>
        <v>0</v>
      </c>
      <c r="AO140" s="204">
        <f t="shared" si="35"/>
        <v>0</v>
      </c>
      <c r="AP140" s="216">
        <v>0.25</v>
      </c>
      <c r="AQ140" s="214" t="s">
        <v>135</v>
      </c>
      <c r="AR140" s="210">
        <v>15410517</v>
      </c>
      <c r="AS140" s="196"/>
      <c r="AT140" s="196"/>
      <c r="AU140" s="204">
        <f t="shared" si="47"/>
        <v>0</v>
      </c>
      <c r="AV140" s="204">
        <f t="shared" si="48"/>
        <v>0</v>
      </c>
      <c r="AW140" s="204">
        <f t="shared" si="49"/>
        <v>0</v>
      </c>
      <c r="AX140" s="204">
        <f t="shared" si="50"/>
        <v>0</v>
      </c>
      <c r="AY140" s="216">
        <v>0.25</v>
      </c>
      <c r="AZ140" s="214" t="s">
        <v>135</v>
      </c>
      <c r="BA140" s="210">
        <v>15410517</v>
      </c>
      <c r="BB140" s="196"/>
      <c r="BC140" s="196"/>
      <c r="BD140" s="216">
        <f t="shared" si="51"/>
        <v>0</v>
      </c>
      <c r="BE140" s="216">
        <f t="shared" si="52"/>
        <v>0</v>
      </c>
      <c r="BF140" s="216">
        <f t="shared" si="53"/>
        <v>0</v>
      </c>
      <c r="BG140" s="216">
        <f t="shared" si="54"/>
        <v>0</v>
      </c>
      <c r="BH140" s="207">
        <f t="shared" si="36"/>
        <v>0</v>
      </c>
      <c r="BI140" s="207">
        <f t="shared" si="37"/>
        <v>0</v>
      </c>
      <c r="BJ140" s="207">
        <f t="shared" si="38"/>
        <v>0</v>
      </c>
      <c r="BK140" s="207">
        <f t="shared" si="39"/>
        <v>0</v>
      </c>
      <c r="BL140" s="207">
        <f t="shared" si="55"/>
        <v>0</v>
      </c>
      <c r="BM140" s="207">
        <f t="shared" si="56"/>
        <v>0</v>
      </c>
      <c r="BN140" s="207">
        <f t="shared" si="40"/>
        <v>0</v>
      </c>
      <c r="BO140" s="207">
        <f t="shared" si="41"/>
        <v>0</v>
      </c>
      <c r="BP140" s="206"/>
      <c r="BQ140" s="277">
        <v>5</v>
      </c>
      <c r="BR140" s="208">
        <f t="shared" si="59"/>
        <v>0.58333333333333337</v>
      </c>
      <c r="BS140" s="219" t="str">
        <f t="shared" si="57"/>
        <v>Asesorar y apoyar en la implementación de MIPG</v>
      </c>
      <c r="BT140" s="195">
        <f t="shared" si="58"/>
        <v>35957873</v>
      </c>
      <c r="BU140" s="196"/>
      <c r="BV140" s="196"/>
      <c r="BW140" s="196"/>
      <c r="BX140" s="196"/>
      <c r="BY140" s="196"/>
      <c r="BZ140" s="196"/>
      <c r="CA140" s="146"/>
      <c r="CB140" s="146"/>
      <c r="CC140" s="146"/>
      <c r="CD140" s="146"/>
      <c r="CE140" s="146"/>
      <c r="CF140" s="146"/>
      <c r="CG140" s="146"/>
      <c r="CH140" s="146"/>
      <c r="CI140" s="146"/>
      <c r="CJ140" s="146"/>
      <c r="CK140" s="146"/>
      <c r="CL140" s="146"/>
      <c r="CM140" s="146"/>
      <c r="CN140" s="146"/>
      <c r="CO140" s="146"/>
      <c r="CP140" s="146"/>
      <c r="CQ140" s="146"/>
      <c r="CR140" s="146"/>
      <c r="CS140" s="146"/>
      <c r="CT140" s="146"/>
      <c r="CU140" s="146"/>
      <c r="CV140" s="146"/>
      <c r="CW140" s="146"/>
      <c r="CX140" s="146"/>
      <c r="CY140" s="146"/>
      <c r="CZ140" s="146"/>
      <c r="DA140" s="146"/>
      <c r="DB140" s="146"/>
      <c r="DC140" s="146"/>
      <c r="DD140" s="146"/>
      <c r="DE140" s="146"/>
      <c r="DF140" s="146"/>
      <c r="DG140" s="146"/>
      <c r="DH140" s="146"/>
      <c r="DI140" s="146"/>
      <c r="DJ140" s="146"/>
      <c r="DK140" s="146"/>
      <c r="DL140" s="146"/>
      <c r="DM140" s="146"/>
      <c r="DN140" s="146"/>
      <c r="DO140" s="146"/>
      <c r="DP140" s="146"/>
      <c r="DQ140" s="146"/>
      <c r="DR140" s="146"/>
      <c r="DS140" s="146"/>
      <c r="DT140" s="146"/>
      <c r="DU140" s="146"/>
      <c r="DV140" s="146"/>
      <c r="DW140" s="146"/>
      <c r="DX140" s="146"/>
      <c r="DY140" s="146"/>
      <c r="DZ140" s="146"/>
      <c r="EA140" s="146"/>
      <c r="EB140" s="146"/>
      <c r="EC140" s="146"/>
      <c r="ED140" s="146"/>
      <c r="EE140" s="146"/>
      <c r="EF140" s="146"/>
      <c r="EG140" s="146"/>
      <c r="EH140" s="146"/>
      <c r="EI140" s="146"/>
      <c r="EJ140" s="146"/>
      <c r="EK140" s="146"/>
      <c r="EL140" s="146"/>
      <c r="EM140" s="146"/>
      <c r="EN140" s="146"/>
      <c r="EO140" s="146"/>
      <c r="EP140" s="146"/>
      <c r="EQ140" s="146"/>
      <c r="ER140" s="146"/>
      <c r="ES140" s="146"/>
      <c r="ET140" s="146"/>
      <c r="EU140" s="146"/>
      <c r="EV140" s="146"/>
      <c r="EW140" s="146"/>
      <c r="EX140" s="146"/>
      <c r="EY140" s="146"/>
      <c r="EZ140" s="146"/>
      <c r="FA140" s="146"/>
      <c r="FB140" s="146"/>
      <c r="FC140" s="146"/>
      <c r="FD140" s="146"/>
      <c r="FE140" s="146"/>
      <c r="FF140" s="146"/>
      <c r="FG140" s="146"/>
      <c r="FH140" s="146"/>
      <c r="FI140" s="146"/>
      <c r="FJ140" s="146"/>
      <c r="FK140" s="146"/>
      <c r="FL140" s="146"/>
      <c r="FM140" s="146"/>
      <c r="FN140" s="146"/>
      <c r="FO140" s="146"/>
      <c r="FP140" s="146"/>
      <c r="FQ140" s="146"/>
      <c r="FR140" s="146"/>
      <c r="FS140" s="146"/>
      <c r="FT140" s="146"/>
      <c r="FU140" s="146"/>
      <c r="FV140" s="146"/>
      <c r="FW140" s="146"/>
      <c r="FX140" s="146"/>
      <c r="FY140" s="146"/>
      <c r="FZ140" s="146"/>
      <c r="GA140" s="146"/>
      <c r="GB140" s="146"/>
      <c r="GC140" s="146"/>
      <c r="GD140" s="146"/>
      <c r="GE140" s="146"/>
      <c r="GF140" s="146"/>
      <c r="GG140" s="146"/>
      <c r="GH140" s="146"/>
      <c r="GI140" s="146"/>
      <c r="GJ140" s="146"/>
      <c r="GK140" s="146"/>
      <c r="GL140" s="146"/>
      <c r="GM140" s="146"/>
      <c r="GN140" s="146"/>
      <c r="GO140" s="146"/>
      <c r="GP140" s="146"/>
      <c r="GQ140" s="146"/>
      <c r="GR140" s="146"/>
      <c r="GS140" s="146"/>
      <c r="GT140" s="146"/>
      <c r="GU140" s="146"/>
      <c r="GV140" s="146"/>
      <c r="GW140" s="146"/>
      <c r="GX140" s="146"/>
      <c r="GY140" s="146"/>
      <c r="GZ140" s="146"/>
      <c r="HA140" s="146"/>
      <c r="HB140" s="146"/>
      <c r="HC140" s="146"/>
      <c r="HD140" s="146"/>
      <c r="HE140" s="146"/>
      <c r="HF140" s="146"/>
      <c r="HG140" s="146"/>
      <c r="HH140" s="146"/>
      <c r="HI140" s="146"/>
      <c r="HJ140" s="146"/>
      <c r="HK140" s="146"/>
      <c r="HL140" s="146"/>
      <c r="HM140" s="146"/>
      <c r="HN140" s="146"/>
      <c r="HO140" s="146"/>
      <c r="HP140" s="146"/>
      <c r="HQ140" s="146"/>
      <c r="HR140" s="146"/>
      <c r="HS140" s="146"/>
      <c r="HT140" s="146"/>
      <c r="HU140" s="146"/>
      <c r="HV140" s="146"/>
      <c r="HW140" s="146"/>
      <c r="HX140" s="146"/>
      <c r="HY140" s="146"/>
      <c r="HZ140" s="146"/>
      <c r="IA140" s="146"/>
    </row>
    <row r="141" spans="1:235" s="154" customFormat="1" ht="99.75" x14ac:dyDescent="0.25">
      <c r="A141" s="197">
        <v>12000</v>
      </c>
      <c r="B141" s="194" t="s">
        <v>30</v>
      </c>
      <c r="C141" s="198" t="s">
        <v>355</v>
      </c>
      <c r="D141" s="194" t="s">
        <v>256</v>
      </c>
      <c r="E141" s="198" t="s">
        <v>542</v>
      </c>
      <c r="F141" s="194" t="s">
        <v>139</v>
      </c>
      <c r="G141" s="209" t="s">
        <v>124</v>
      </c>
      <c r="H141" s="198">
        <v>1</v>
      </c>
      <c r="I141" s="198" t="s">
        <v>543</v>
      </c>
      <c r="J141" s="194" t="s">
        <v>138</v>
      </c>
      <c r="K141" s="210">
        <v>0</v>
      </c>
      <c r="L141" s="211">
        <v>1</v>
      </c>
      <c r="M141" s="194" t="s">
        <v>48</v>
      </c>
      <c r="N141" s="194" t="s">
        <v>62</v>
      </c>
      <c r="O141" s="194" t="s">
        <v>21</v>
      </c>
      <c r="P141" s="194" t="s">
        <v>23</v>
      </c>
      <c r="Q141" s="194" t="s">
        <v>75</v>
      </c>
      <c r="R141" s="194" t="s">
        <v>628</v>
      </c>
      <c r="S141" s="194" t="s">
        <v>98</v>
      </c>
      <c r="T141" s="221">
        <v>1</v>
      </c>
      <c r="U141" s="212" t="str">
        <f t="shared" si="43"/>
        <v>Elaboración del Informe de Rendición de Cuentas al Congreso de la República 2017-2018</v>
      </c>
      <c r="V141" s="213">
        <f t="shared" si="43"/>
        <v>0</v>
      </c>
      <c r="W141" s="214" t="s">
        <v>117</v>
      </c>
      <c r="X141" s="215">
        <v>0</v>
      </c>
      <c r="Y141" s="214" t="s">
        <v>138</v>
      </c>
      <c r="Z141" s="210">
        <v>0</v>
      </c>
      <c r="AA141" s="196"/>
      <c r="AB141" s="196"/>
      <c r="AC141" s="204" t="e">
        <f t="shared" si="44"/>
        <v>#DIV/0!</v>
      </c>
      <c r="AD141" s="204" t="e">
        <f t="shared" si="45"/>
        <v>#DIV/0!</v>
      </c>
      <c r="AE141" s="204">
        <f t="shared" ref="AE141:AE150" si="60">+(AA141/T141)</f>
        <v>0</v>
      </c>
      <c r="AF141" s="204" t="e">
        <f t="shared" ref="AF141:AF150" si="61">+(AB141/V141)</f>
        <v>#DIV/0!</v>
      </c>
      <c r="AG141" s="215">
        <v>0</v>
      </c>
      <c r="AH141" s="214" t="s">
        <v>138</v>
      </c>
      <c r="AI141" s="210">
        <v>0</v>
      </c>
      <c r="AJ141" s="196"/>
      <c r="AK141" s="196"/>
      <c r="AL141" s="204" t="e">
        <f t="shared" si="46"/>
        <v>#DIV/0!</v>
      </c>
      <c r="AM141" s="204" t="e">
        <f t="shared" ref="AM141:AM150" si="62">+(AK141/AI141)</f>
        <v>#DIV/0!</v>
      </c>
      <c r="AN141" s="204">
        <f t="shared" ref="AN141:AN150" si="63">+(AJ141+AA141)/T141</f>
        <v>0</v>
      </c>
      <c r="AO141" s="204" t="e">
        <f t="shared" ref="AO141:AO150" si="64">+(AK141+AB141)/V141</f>
        <v>#DIV/0!</v>
      </c>
      <c r="AP141" s="215">
        <v>1</v>
      </c>
      <c r="AQ141" s="214" t="s">
        <v>138</v>
      </c>
      <c r="AR141" s="210">
        <v>0</v>
      </c>
      <c r="AS141" s="196"/>
      <c r="AT141" s="196"/>
      <c r="AU141" s="204">
        <f t="shared" si="47"/>
        <v>0</v>
      </c>
      <c r="AV141" s="204" t="e">
        <f t="shared" si="48"/>
        <v>#DIV/0!</v>
      </c>
      <c r="AW141" s="204">
        <f t="shared" si="49"/>
        <v>0</v>
      </c>
      <c r="AX141" s="204" t="e">
        <f t="shared" si="50"/>
        <v>#DIV/0!</v>
      </c>
      <c r="AY141" s="215">
        <v>0</v>
      </c>
      <c r="AZ141" s="214" t="s">
        <v>138</v>
      </c>
      <c r="BA141" s="210">
        <v>0</v>
      </c>
      <c r="BB141" s="196"/>
      <c r="BC141" s="196"/>
      <c r="BD141" s="216" t="e">
        <f t="shared" si="51"/>
        <v>#DIV/0!</v>
      </c>
      <c r="BE141" s="216" t="e">
        <f t="shared" si="52"/>
        <v>#DIV/0!</v>
      </c>
      <c r="BF141" s="216">
        <f t="shared" si="53"/>
        <v>0</v>
      </c>
      <c r="BG141" s="216" t="e">
        <f t="shared" si="54"/>
        <v>#DIV/0!</v>
      </c>
      <c r="BH141" s="207" t="str">
        <f t="shared" ref="BH141:BH150" si="65">IF(AND(X141=0,AA141=0),"No Prog ni Ejec",IF(X141=0,CONCATENATE("No Prog, Ejec=  ",AA141),AA141/X141))</f>
        <v>No Prog ni Ejec</v>
      </c>
      <c r="BI141" s="207" t="str">
        <f t="shared" ref="BI141:BI150" si="66">IF(AND(Z141=0,AB141=0),"No Prog ni Ejec",IF(Z141=0,CONCATENATE("No Prog, Ejec=  ",AB141),AB141/Z141))</f>
        <v>No Prog ni Ejec</v>
      </c>
      <c r="BJ141" s="207" t="str">
        <f t="shared" ref="BJ141:BJ150" si="67">IF(AND(AG141=0,AJ141=0),"No Prog ni Ejec",IF(AG141=0,CONCATENATE("No Prog, Ejec=  ",AJ141),AJ141/AG141))</f>
        <v>No Prog ni Ejec</v>
      </c>
      <c r="BK141" s="207" t="str">
        <f t="shared" ref="BK141:BK150" si="68">IF(AND(AI141=0,AK141=0),"No Prog ni Ejec",IF(AI141=0,CONCATENATE("No Prog, Ejec=  ",AK141),AK141/AI141))</f>
        <v>No Prog ni Ejec</v>
      </c>
      <c r="BL141" s="207">
        <f t="shared" si="55"/>
        <v>0</v>
      </c>
      <c r="BM141" s="207" t="str">
        <f t="shared" si="56"/>
        <v>No Prog ni Ejec</v>
      </c>
      <c r="BN141" s="207" t="str">
        <f t="shared" ref="BN141:BN150" si="69">IF(AND(AY141=0,BB141=0),"No Prog ni Ejec",IF(AY141=0,CONCATENATE("No Prog, Ejec=  ",BB141),BB141/AY141))</f>
        <v>No Prog ni Ejec</v>
      </c>
      <c r="BO141" s="207" t="str">
        <f t="shared" ref="BO141:BO150" si="70">IF(AND(BA141=0,BC141=0),"No Prog ni Ejec",IF(BA141=0,CONCATENATE("No Prog, Ejec=  ",BC141),BC141/BA141))</f>
        <v>No Prog ni Ejec</v>
      </c>
      <c r="BP141" s="206"/>
      <c r="BQ141" s="277">
        <v>5</v>
      </c>
      <c r="BR141" s="218">
        <f t="shared" si="59"/>
        <v>0.33333333333333331</v>
      </c>
      <c r="BS141" s="219" t="str">
        <f t="shared" si="57"/>
        <v>Elaboración del Informe de Rendición de Cuentas al Congreso de la República 2017-2018</v>
      </c>
      <c r="BT141" s="195">
        <f t="shared" si="58"/>
        <v>0</v>
      </c>
      <c r="BU141" s="196"/>
      <c r="BV141" s="196"/>
      <c r="BW141" s="196"/>
      <c r="BX141" s="196"/>
      <c r="BY141" s="196"/>
      <c r="BZ141" s="196"/>
      <c r="CA141" s="146"/>
      <c r="CB141" s="146"/>
      <c r="CC141" s="146"/>
      <c r="CD141" s="146"/>
      <c r="CE141" s="146"/>
      <c r="CF141" s="146"/>
      <c r="CG141" s="146"/>
      <c r="CH141" s="146"/>
      <c r="CI141" s="146"/>
      <c r="CJ141" s="146"/>
      <c r="CK141" s="146"/>
      <c r="CL141" s="146"/>
      <c r="CM141" s="146"/>
      <c r="CN141" s="146"/>
      <c r="CO141" s="146"/>
      <c r="CP141" s="146"/>
      <c r="CQ141" s="146"/>
      <c r="CR141" s="146"/>
      <c r="CS141" s="146"/>
      <c r="CT141" s="146"/>
      <c r="CU141" s="146"/>
      <c r="CV141" s="146"/>
      <c r="CW141" s="146"/>
      <c r="CX141" s="146"/>
      <c r="CY141" s="146"/>
      <c r="CZ141" s="146"/>
      <c r="DA141" s="146"/>
      <c r="DB141" s="146"/>
      <c r="DC141" s="146"/>
      <c r="DD141" s="146"/>
      <c r="DE141" s="146"/>
      <c r="DF141" s="146"/>
      <c r="DG141" s="146"/>
      <c r="DH141" s="146"/>
      <c r="DI141" s="146"/>
      <c r="DJ141" s="146"/>
      <c r="DK141" s="146"/>
      <c r="DL141" s="146"/>
      <c r="DM141" s="146"/>
      <c r="DN141" s="146"/>
      <c r="DO141" s="146"/>
      <c r="DP141" s="146"/>
      <c r="DQ141" s="146"/>
      <c r="DR141" s="146"/>
      <c r="DS141" s="146"/>
      <c r="DT141" s="146"/>
      <c r="DU141" s="146"/>
      <c r="DV141" s="146"/>
      <c r="DW141" s="146"/>
      <c r="DX141" s="146"/>
      <c r="DY141" s="146"/>
      <c r="DZ141" s="146"/>
      <c r="EA141" s="146"/>
      <c r="EB141" s="146"/>
      <c r="EC141" s="146"/>
      <c r="ED141" s="146"/>
      <c r="EE141" s="146"/>
      <c r="EF141" s="146"/>
      <c r="EG141" s="146"/>
      <c r="EH141" s="146"/>
      <c r="EI141" s="146"/>
      <c r="EJ141" s="146"/>
      <c r="EK141" s="146"/>
      <c r="EL141" s="146"/>
      <c r="EM141" s="146"/>
      <c r="EN141" s="146"/>
      <c r="EO141" s="146"/>
      <c r="EP141" s="146"/>
      <c r="EQ141" s="146"/>
      <c r="ER141" s="146"/>
      <c r="ES141" s="146"/>
      <c r="ET141" s="146"/>
      <c r="EU141" s="146"/>
      <c r="EV141" s="146"/>
      <c r="EW141" s="146"/>
      <c r="EX141" s="146"/>
      <c r="EY141" s="146"/>
      <c r="EZ141" s="146"/>
      <c r="FA141" s="146"/>
      <c r="FB141" s="146"/>
      <c r="FC141" s="146"/>
      <c r="FD141" s="146"/>
      <c r="FE141" s="146"/>
      <c r="FF141" s="146"/>
      <c r="FG141" s="146"/>
      <c r="FH141" s="146"/>
      <c r="FI141" s="146"/>
      <c r="FJ141" s="146"/>
      <c r="FK141" s="146"/>
      <c r="FL141" s="146"/>
      <c r="FM141" s="146"/>
      <c r="FN141" s="146"/>
      <c r="FO141" s="146"/>
      <c r="FP141" s="146"/>
      <c r="FQ141" s="146"/>
      <c r="FR141" s="146"/>
      <c r="FS141" s="146"/>
      <c r="FT141" s="146"/>
      <c r="FU141" s="146"/>
      <c r="FV141" s="146"/>
      <c r="FW141" s="146"/>
      <c r="FX141" s="146"/>
      <c r="FY141" s="146"/>
      <c r="FZ141" s="146"/>
      <c r="GA141" s="146"/>
      <c r="GB141" s="146"/>
      <c r="GC141" s="146"/>
      <c r="GD141" s="146"/>
      <c r="GE141" s="146"/>
      <c r="GF141" s="146"/>
      <c r="GG141" s="146"/>
      <c r="GH141" s="146"/>
      <c r="GI141" s="146"/>
      <c r="GJ141" s="146"/>
      <c r="GK141" s="146"/>
      <c r="GL141" s="146"/>
      <c r="GM141" s="146"/>
      <c r="GN141" s="146"/>
      <c r="GO141" s="146"/>
      <c r="GP141" s="146"/>
      <c r="GQ141" s="146"/>
      <c r="GR141" s="146"/>
      <c r="GS141" s="146"/>
      <c r="GT141" s="146"/>
      <c r="GU141" s="146"/>
      <c r="GV141" s="146"/>
      <c r="GW141" s="146"/>
      <c r="GX141" s="146"/>
      <c r="GY141" s="146"/>
      <c r="GZ141" s="146"/>
      <c r="HA141" s="146"/>
      <c r="HB141" s="146"/>
      <c r="HC141" s="146"/>
      <c r="HD141" s="146"/>
      <c r="HE141" s="146"/>
      <c r="HF141" s="146"/>
      <c r="HG141" s="146"/>
      <c r="HH141" s="146"/>
      <c r="HI141" s="146"/>
      <c r="HJ141" s="146"/>
      <c r="HK141" s="146"/>
      <c r="HL141" s="146"/>
      <c r="HM141" s="146"/>
      <c r="HN141" s="146"/>
      <c r="HO141" s="146"/>
      <c r="HP141" s="146"/>
      <c r="HQ141" s="146"/>
      <c r="HR141" s="146"/>
      <c r="HS141" s="146"/>
      <c r="HT141" s="146"/>
      <c r="HU141" s="146"/>
      <c r="HV141" s="146"/>
      <c r="HW141" s="146"/>
      <c r="HX141" s="146"/>
      <c r="HY141" s="146"/>
      <c r="HZ141" s="146"/>
      <c r="IA141" s="146"/>
    </row>
    <row r="142" spans="1:235" s="154" customFormat="1" ht="128.25" x14ac:dyDescent="0.25">
      <c r="A142" s="197">
        <v>11700</v>
      </c>
      <c r="B142" s="194" t="s">
        <v>29</v>
      </c>
      <c r="C142" s="198" t="s">
        <v>328</v>
      </c>
      <c r="D142" s="194" t="s">
        <v>256</v>
      </c>
      <c r="E142" s="198" t="s">
        <v>665</v>
      </c>
      <c r="F142" s="194" t="s">
        <v>667</v>
      </c>
      <c r="G142" s="209" t="s">
        <v>123</v>
      </c>
      <c r="H142" s="216">
        <v>1</v>
      </c>
      <c r="I142" s="198" t="s">
        <v>666</v>
      </c>
      <c r="J142" s="194" t="s">
        <v>471</v>
      </c>
      <c r="K142" s="210">
        <v>77284920</v>
      </c>
      <c r="L142" s="216">
        <v>1</v>
      </c>
      <c r="M142" s="194" t="s">
        <v>45</v>
      </c>
      <c r="N142" s="194" t="s">
        <v>54</v>
      </c>
      <c r="O142" s="194" t="s">
        <v>37</v>
      </c>
      <c r="P142" s="194" t="s">
        <v>38</v>
      </c>
      <c r="Q142" s="194" t="s">
        <v>218</v>
      </c>
      <c r="R142" s="194" t="s">
        <v>379</v>
      </c>
      <c r="S142" s="194" t="s">
        <v>104</v>
      </c>
      <c r="T142" s="216">
        <v>1</v>
      </c>
      <c r="U142" s="212" t="str">
        <f t="shared" ref="U142:V150" si="71">+J142</f>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V142" s="213">
        <f t="shared" si="71"/>
        <v>77284920</v>
      </c>
      <c r="W142" s="222" t="s">
        <v>114</v>
      </c>
      <c r="X142" s="216">
        <v>0.25</v>
      </c>
      <c r="Y142" s="214" t="s">
        <v>471</v>
      </c>
      <c r="Z142" s="210">
        <v>19321230</v>
      </c>
      <c r="AA142" s="196"/>
      <c r="AB142" s="196"/>
      <c r="AC142" s="204">
        <f t="shared" ref="AC142:AC150" si="72">+(AA142/X142)</f>
        <v>0</v>
      </c>
      <c r="AD142" s="216">
        <f t="shared" ref="AD142:AD150" si="73">+(AB142/Z142)</f>
        <v>0</v>
      </c>
      <c r="AE142" s="216">
        <f t="shared" si="60"/>
        <v>0</v>
      </c>
      <c r="AF142" s="216">
        <f t="shared" si="61"/>
        <v>0</v>
      </c>
      <c r="AG142" s="216">
        <v>0.25</v>
      </c>
      <c r="AH142" s="214" t="s">
        <v>471</v>
      </c>
      <c r="AI142" s="210">
        <v>19321230</v>
      </c>
      <c r="AJ142" s="196"/>
      <c r="AK142" s="196"/>
      <c r="AL142" s="216">
        <f t="shared" ref="AL142:AL150" si="74">+(AJ142/AG142)</f>
        <v>0</v>
      </c>
      <c r="AM142" s="216">
        <f t="shared" si="62"/>
        <v>0</v>
      </c>
      <c r="AN142" s="216">
        <f t="shared" si="63"/>
        <v>0</v>
      </c>
      <c r="AO142" s="216">
        <f t="shared" si="64"/>
        <v>0</v>
      </c>
      <c r="AP142" s="216">
        <v>0.25</v>
      </c>
      <c r="AQ142" s="214" t="s">
        <v>471</v>
      </c>
      <c r="AR142" s="210">
        <v>19321230</v>
      </c>
      <c r="AS142" s="196"/>
      <c r="AT142" s="196"/>
      <c r="AU142" s="216">
        <f t="shared" ref="AU142:AU150" si="75">+(AS142/AP142)</f>
        <v>0</v>
      </c>
      <c r="AV142" s="216">
        <f t="shared" ref="AV142:AV150" si="76">+(AT142/AR142)</f>
        <v>0</v>
      </c>
      <c r="AW142" s="216">
        <f t="shared" ref="AW142:AW150" si="77">+(AJ142+AA142+AS142)/T142</f>
        <v>0</v>
      </c>
      <c r="AX142" s="216">
        <f t="shared" ref="AX142:AX150" si="78">+(AK142+AB142+AT142)/V142</f>
        <v>0</v>
      </c>
      <c r="AY142" s="216">
        <v>0.25</v>
      </c>
      <c r="AZ142" s="214" t="s">
        <v>471</v>
      </c>
      <c r="BA142" s="210">
        <v>19321230</v>
      </c>
      <c r="BB142" s="196"/>
      <c r="BC142" s="196"/>
      <c r="BD142" s="216">
        <f t="shared" ref="BD142:BD150" si="79">+(BB142/AY142)</f>
        <v>0</v>
      </c>
      <c r="BE142" s="216">
        <f t="shared" ref="BE142:BE150" si="80">+(BC142/BA142)</f>
        <v>0</v>
      </c>
      <c r="BF142" s="216">
        <f t="shared" ref="BF142:BF150" si="81">+(AJ142+AA142+AS142+BB142)/T142</f>
        <v>0</v>
      </c>
      <c r="BG142" s="216">
        <f t="shared" ref="BG142:BG150" si="82">+(AK142+AB142+AT142+BC142)/V142</f>
        <v>0</v>
      </c>
      <c r="BH142" s="207">
        <f t="shared" si="65"/>
        <v>0</v>
      </c>
      <c r="BI142" s="207">
        <f t="shared" si="66"/>
        <v>0</v>
      </c>
      <c r="BJ142" s="207">
        <f t="shared" si="67"/>
        <v>0</v>
      </c>
      <c r="BK142" s="207">
        <f t="shared" si="68"/>
        <v>0</v>
      </c>
      <c r="BL142" s="207">
        <f t="shared" ref="BL142:BL150" si="83">IF(AND(AP142=0,AS142=0),"No Prog ni Ejec",IF(AP142=0,CONCATENATE("No Prog, Ejec=  ",AS142),AS142/AP142))</f>
        <v>0</v>
      </c>
      <c r="BM142" s="207">
        <f t="shared" ref="BM142:BM150" si="84">IF(AND(AR142=0,AT142=0),"No Prog ni Ejec",IF(AR142=0,CONCATENATE("No Prog, Ejec=  ",AT142),AT142/AR142))</f>
        <v>0</v>
      </c>
      <c r="BN142" s="207">
        <f t="shared" si="69"/>
        <v>0</v>
      </c>
      <c r="BO142" s="207">
        <f t="shared" si="70"/>
        <v>0</v>
      </c>
      <c r="BP142" s="206"/>
      <c r="BQ142" s="277">
        <v>7</v>
      </c>
      <c r="BR142" s="208">
        <f t="shared" si="59"/>
        <v>0.58333333333333337</v>
      </c>
      <c r="BS142" s="219" t="str">
        <f t="shared" si="57"/>
        <v xml:space="preserve">Apoyar a la Dirección Administrativa y Financiera, en la gestión y seguimiento de las situaciones y novedades administrativas que tienen afectación en la liquidación de la nómina, prestaciones sociales y demás reconocimientos económicos del personal de la ADRES. </v>
      </c>
      <c r="BT142" s="195">
        <f t="shared" si="58"/>
        <v>45082870</v>
      </c>
      <c r="BU142" s="196"/>
      <c r="BV142" s="196"/>
      <c r="BW142" s="196"/>
      <c r="BX142" s="196"/>
      <c r="BY142" s="196"/>
      <c r="BZ142" s="19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c r="CV142" s="146"/>
      <c r="CW142" s="146"/>
      <c r="CX142" s="146"/>
      <c r="CY142" s="146"/>
      <c r="CZ142" s="146"/>
      <c r="DA142" s="146"/>
      <c r="DB142" s="146"/>
      <c r="DC142" s="146"/>
      <c r="DD142" s="146"/>
      <c r="DE142" s="146"/>
      <c r="DF142" s="146"/>
      <c r="DG142" s="146"/>
      <c r="DH142" s="146"/>
      <c r="DI142" s="146"/>
      <c r="DJ142" s="146"/>
      <c r="DK142" s="146"/>
      <c r="DL142" s="146"/>
      <c r="DM142" s="146"/>
      <c r="DN142" s="146"/>
      <c r="DO142" s="146"/>
      <c r="DP142" s="146"/>
      <c r="DQ142" s="146"/>
      <c r="DR142" s="146"/>
      <c r="DS142" s="146"/>
      <c r="DT142" s="146"/>
      <c r="DU142" s="146"/>
      <c r="DV142" s="146"/>
      <c r="DW142" s="146"/>
      <c r="DX142" s="146"/>
      <c r="DY142" s="146"/>
      <c r="DZ142" s="146"/>
      <c r="EA142" s="146"/>
      <c r="EB142" s="146"/>
      <c r="EC142" s="146"/>
      <c r="ED142" s="146"/>
      <c r="EE142" s="146"/>
      <c r="EF142" s="146"/>
      <c r="EG142" s="146"/>
      <c r="EH142" s="146"/>
      <c r="EI142" s="146"/>
      <c r="EJ142" s="146"/>
      <c r="EK142" s="146"/>
      <c r="EL142" s="146"/>
      <c r="EM142" s="146"/>
      <c r="EN142" s="146"/>
      <c r="EO142" s="146"/>
      <c r="EP142" s="146"/>
      <c r="EQ142" s="146"/>
      <c r="ER142" s="146"/>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6"/>
      <c r="FO142" s="146"/>
      <c r="FP142" s="146"/>
      <c r="FQ142" s="146"/>
      <c r="FR142" s="146"/>
      <c r="FS142" s="146"/>
      <c r="FT142" s="146"/>
      <c r="FU142" s="146"/>
      <c r="FV142" s="146"/>
      <c r="FW142" s="146"/>
      <c r="FX142" s="146"/>
      <c r="FY142" s="146"/>
      <c r="FZ142" s="146"/>
      <c r="GA142" s="146"/>
      <c r="GB142" s="146"/>
      <c r="GC142" s="146"/>
      <c r="GD142" s="146"/>
      <c r="GE142" s="146"/>
      <c r="GF142" s="146"/>
      <c r="GG142" s="146"/>
      <c r="GH142" s="146"/>
      <c r="GI142" s="146"/>
      <c r="GJ142" s="146"/>
      <c r="GK142" s="146"/>
      <c r="GL142" s="146"/>
      <c r="GM142" s="146"/>
      <c r="GN142" s="146"/>
      <c r="GO142" s="146"/>
      <c r="GP142" s="146"/>
      <c r="GQ142" s="146"/>
      <c r="GR142" s="146"/>
      <c r="GS142" s="146"/>
      <c r="GT142" s="146"/>
      <c r="GU142" s="146"/>
      <c r="GV142" s="146"/>
      <c r="GW142" s="146"/>
      <c r="GX142" s="146"/>
      <c r="GY142" s="146"/>
      <c r="GZ142" s="146"/>
      <c r="HA142" s="146"/>
      <c r="HB142" s="146"/>
      <c r="HC142" s="146"/>
      <c r="HD142" s="146"/>
      <c r="HE142" s="146"/>
      <c r="HF142" s="146"/>
      <c r="HG142" s="146"/>
      <c r="HH142" s="146"/>
      <c r="HI142" s="146"/>
      <c r="HJ142" s="146"/>
      <c r="HK142" s="146"/>
      <c r="HL142" s="146"/>
      <c r="HM142" s="146"/>
      <c r="HN142" s="146"/>
      <c r="HO142" s="146"/>
      <c r="HP142" s="146"/>
      <c r="HQ142" s="146"/>
      <c r="HR142" s="146"/>
      <c r="HS142" s="146"/>
      <c r="HT142" s="146"/>
      <c r="HU142" s="146"/>
      <c r="HV142" s="146"/>
      <c r="HW142" s="146"/>
      <c r="HX142" s="146"/>
      <c r="HY142" s="146"/>
      <c r="HZ142" s="146"/>
      <c r="IA142" s="146"/>
    </row>
    <row r="143" spans="1:235" s="154" customFormat="1" ht="99.75" x14ac:dyDescent="0.25">
      <c r="A143" s="197">
        <v>11700</v>
      </c>
      <c r="B143" s="194" t="s">
        <v>29</v>
      </c>
      <c r="C143" s="198" t="s">
        <v>328</v>
      </c>
      <c r="D143" s="194" t="s">
        <v>256</v>
      </c>
      <c r="E143" s="198" t="s">
        <v>669</v>
      </c>
      <c r="F143" s="194" t="s">
        <v>671</v>
      </c>
      <c r="G143" s="209" t="s">
        <v>123</v>
      </c>
      <c r="H143" s="216">
        <v>1</v>
      </c>
      <c r="I143" s="198" t="s">
        <v>668</v>
      </c>
      <c r="J143" s="194" t="s">
        <v>472</v>
      </c>
      <c r="K143" s="210">
        <v>17000000</v>
      </c>
      <c r="L143" s="216">
        <v>1</v>
      </c>
      <c r="M143" s="194" t="s">
        <v>45</v>
      </c>
      <c r="N143" s="194" t="s">
        <v>54</v>
      </c>
      <c r="O143" s="194" t="s">
        <v>37</v>
      </c>
      <c r="P143" s="194" t="s">
        <v>38</v>
      </c>
      <c r="Q143" s="194" t="s">
        <v>218</v>
      </c>
      <c r="R143" s="194" t="s">
        <v>379</v>
      </c>
      <c r="S143" s="194" t="s">
        <v>104</v>
      </c>
      <c r="T143" s="216">
        <v>1</v>
      </c>
      <c r="U143" s="212" t="str">
        <f t="shared" si="71"/>
        <v xml:space="preserve">Realizar el estudio de seguridad, visita domiciliaria y verificación de la información de la Hoja de Vida y antecedentes financieros de los funcionarios de la entidad. </v>
      </c>
      <c r="V143" s="213">
        <f t="shared" si="71"/>
        <v>17000000</v>
      </c>
      <c r="W143" s="222" t="s">
        <v>114</v>
      </c>
      <c r="X143" s="216">
        <v>0.25</v>
      </c>
      <c r="Y143" s="214" t="s">
        <v>472</v>
      </c>
      <c r="Z143" s="210">
        <v>4250000</v>
      </c>
      <c r="AA143" s="196"/>
      <c r="AB143" s="196"/>
      <c r="AC143" s="204">
        <f t="shared" si="72"/>
        <v>0</v>
      </c>
      <c r="AD143" s="216">
        <f t="shared" si="73"/>
        <v>0</v>
      </c>
      <c r="AE143" s="216">
        <f t="shared" si="60"/>
        <v>0</v>
      </c>
      <c r="AF143" s="216">
        <f t="shared" si="61"/>
        <v>0</v>
      </c>
      <c r="AG143" s="216">
        <v>0.25</v>
      </c>
      <c r="AH143" s="214" t="s">
        <v>472</v>
      </c>
      <c r="AI143" s="210">
        <v>4250000</v>
      </c>
      <c r="AJ143" s="196"/>
      <c r="AK143" s="196"/>
      <c r="AL143" s="216">
        <f t="shared" si="74"/>
        <v>0</v>
      </c>
      <c r="AM143" s="216">
        <f t="shared" si="62"/>
        <v>0</v>
      </c>
      <c r="AN143" s="216">
        <f t="shared" si="63"/>
        <v>0</v>
      </c>
      <c r="AO143" s="216">
        <f t="shared" si="64"/>
        <v>0</v>
      </c>
      <c r="AP143" s="216">
        <v>0.25</v>
      </c>
      <c r="AQ143" s="214" t="s">
        <v>472</v>
      </c>
      <c r="AR143" s="210">
        <v>4250000</v>
      </c>
      <c r="AS143" s="196"/>
      <c r="AT143" s="196"/>
      <c r="AU143" s="216">
        <f t="shared" si="75"/>
        <v>0</v>
      </c>
      <c r="AV143" s="216">
        <f t="shared" si="76"/>
        <v>0</v>
      </c>
      <c r="AW143" s="216">
        <f t="shared" si="77"/>
        <v>0</v>
      </c>
      <c r="AX143" s="216">
        <f t="shared" si="78"/>
        <v>0</v>
      </c>
      <c r="AY143" s="216">
        <v>0.25</v>
      </c>
      <c r="AZ143" s="214" t="s">
        <v>472</v>
      </c>
      <c r="BA143" s="210">
        <v>4250000</v>
      </c>
      <c r="BB143" s="196"/>
      <c r="BC143" s="196"/>
      <c r="BD143" s="216">
        <f t="shared" si="79"/>
        <v>0</v>
      </c>
      <c r="BE143" s="216">
        <f t="shared" si="80"/>
        <v>0</v>
      </c>
      <c r="BF143" s="216">
        <f t="shared" si="81"/>
        <v>0</v>
      </c>
      <c r="BG143" s="216">
        <f t="shared" si="82"/>
        <v>0</v>
      </c>
      <c r="BH143" s="207">
        <f t="shared" si="65"/>
        <v>0</v>
      </c>
      <c r="BI143" s="207">
        <f t="shared" si="66"/>
        <v>0</v>
      </c>
      <c r="BJ143" s="207">
        <f t="shared" si="67"/>
        <v>0</v>
      </c>
      <c r="BK143" s="207">
        <f t="shared" si="68"/>
        <v>0</v>
      </c>
      <c r="BL143" s="207">
        <f t="shared" si="83"/>
        <v>0</v>
      </c>
      <c r="BM143" s="207">
        <f t="shared" si="84"/>
        <v>0</v>
      </c>
      <c r="BN143" s="207">
        <f t="shared" si="69"/>
        <v>0</v>
      </c>
      <c r="BO143" s="207">
        <f t="shared" si="70"/>
        <v>0</v>
      </c>
      <c r="BP143" s="206"/>
      <c r="BQ143" s="277">
        <v>7</v>
      </c>
      <c r="BR143" s="208">
        <f t="shared" si="59"/>
        <v>0.58333333333333337</v>
      </c>
      <c r="BS143" s="219" t="str">
        <f t="shared" ref="BS143:BS150" si="85">+U143</f>
        <v xml:space="preserve">Realizar el estudio de seguridad, visita domiciliaria y verificación de la información de la Hoja de Vida y antecedentes financieros de los funcionarios de la entidad. </v>
      </c>
      <c r="BT143" s="195">
        <f t="shared" si="58"/>
        <v>9916666.666666666</v>
      </c>
      <c r="BU143" s="196"/>
      <c r="BV143" s="196"/>
      <c r="BW143" s="196"/>
      <c r="BX143" s="196"/>
      <c r="BY143" s="196"/>
      <c r="BZ143" s="196"/>
      <c r="CA143" s="146"/>
      <c r="CB143" s="146"/>
      <c r="CC143" s="146"/>
      <c r="CD143" s="146"/>
      <c r="CE143" s="146"/>
      <c r="CF143" s="146"/>
      <c r="CG143" s="146"/>
      <c r="CH143" s="146"/>
      <c r="CI143" s="146"/>
      <c r="CJ143" s="146"/>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46"/>
      <c r="EE143" s="146"/>
      <c r="EF143" s="146"/>
      <c r="EG143" s="146"/>
      <c r="EH143" s="146"/>
      <c r="EI143" s="146"/>
      <c r="EJ143" s="146"/>
      <c r="EK143" s="146"/>
      <c r="EL143" s="146"/>
      <c r="EM143" s="146"/>
      <c r="EN143" s="146"/>
      <c r="EO143" s="146"/>
      <c r="EP143" s="146"/>
      <c r="EQ143" s="146"/>
      <c r="ER143" s="146"/>
      <c r="ES143" s="146"/>
      <c r="ET143" s="146"/>
      <c r="EU143" s="146"/>
      <c r="EV143" s="146"/>
      <c r="EW143" s="146"/>
      <c r="EX143" s="146"/>
      <c r="EY143" s="146"/>
      <c r="EZ143" s="146"/>
      <c r="FA143" s="146"/>
      <c r="FB143" s="146"/>
      <c r="FC143" s="146"/>
      <c r="FD143" s="146"/>
      <c r="FE143" s="146"/>
      <c r="FF143" s="146"/>
      <c r="FG143" s="146"/>
      <c r="FH143" s="146"/>
      <c r="FI143" s="146"/>
      <c r="FJ143" s="146"/>
      <c r="FK143" s="146"/>
      <c r="FL143" s="146"/>
      <c r="FM143" s="146"/>
      <c r="FN143" s="146"/>
      <c r="FO143" s="146"/>
      <c r="FP143" s="146"/>
      <c r="FQ143" s="146"/>
      <c r="FR143" s="146"/>
      <c r="FS143" s="146"/>
      <c r="FT143" s="146"/>
      <c r="FU143" s="146"/>
      <c r="FV143" s="146"/>
      <c r="FW143" s="146"/>
      <c r="FX143" s="146"/>
      <c r="FY143" s="146"/>
      <c r="FZ143" s="146"/>
      <c r="GA143" s="146"/>
      <c r="GB143" s="146"/>
      <c r="GC143" s="146"/>
      <c r="GD143" s="146"/>
      <c r="GE143" s="146"/>
      <c r="GF143" s="146"/>
      <c r="GG143" s="146"/>
      <c r="GH143" s="146"/>
      <c r="GI143" s="146"/>
      <c r="GJ143" s="146"/>
      <c r="GK143" s="146"/>
      <c r="GL143" s="146"/>
      <c r="GM143" s="146"/>
      <c r="GN143" s="146"/>
      <c r="GO143" s="146"/>
      <c r="GP143" s="146"/>
      <c r="GQ143" s="146"/>
      <c r="GR143" s="146"/>
      <c r="GS143" s="146"/>
      <c r="GT143" s="146"/>
      <c r="GU143" s="146"/>
      <c r="GV143" s="146"/>
      <c r="GW143" s="146"/>
      <c r="GX143" s="146"/>
      <c r="GY143" s="146"/>
      <c r="GZ143" s="146"/>
      <c r="HA143" s="146"/>
      <c r="HB143" s="146"/>
      <c r="HC143" s="146"/>
      <c r="HD143" s="146"/>
      <c r="HE143" s="146"/>
      <c r="HF143" s="146"/>
      <c r="HG143" s="146"/>
      <c r="HH143" s="146"/>
      <c r="HI143" s="146"/>
      <c r="HJ143" s="146"/>
      <c r="HK143" s="146"/>
      <c r="HL143" s="146"/>
      <c r="HM143" s="146"/>
      <c r="HN143" s="146"/>
      <c r="HO143" s="146"/>
      <c r="HP143" s="146"/>
      <c r="HQ143" s="146"/>
      <c r="HR143" s="146"/>
      <c r="HS143" s="146"/>
      <c r="HT143" s="146"/>
      <c r="HU143" s="146"/>
      <c r="HV143" s="146"/>
      <c r="HW143" s="146"/>
      <c r="HX143" s="146"/>
      <c r="HY143" s="146"/>
      <c r="HZ143" s="146"/>
      <c r="IA143" s="146"/>
    </row>
    <row r="144" spans="1:235" s="153" customFormat="1" ht="71.25" x14ac:dyDescent="0.25">
      <c r="A144" s="197">
        <v>11900</v>
      </c>
      <c r="B144" s="194" t="s">
        <v>349</v>
      </c>
      <c r="C144" s="198" t="s">
        <v>357</v>
      </c>
      <c r="D144" s="194" t="s">
        <v>146</v>
      </c>
      <c r="E144" s="953" t="s">
        <v>692</v>
      </c>
      <c r="F144" s="971" t="s">
        <v>843</v>
      </c>
      <c r="G144" s="953" t="s">
        <v>123</v>
      </c>
      <c r="H144" s="216">
        <v>1</v>
      </c>
      <c r="I144" s="953" t="s">
        <v>693</v>
      </c>
      <c r="J144" s="963" t="s">
        <v>841</v>
      </c>
      <c r="K144" s="957">
        <v>0</v>
      </c>
      <c r="L144" s="248">
        <v>1</v>
      </c>
      <c r="M144" s="963" t="s">
        <v>46</v>
      </c>
      <c r="N144" s="963" t="s">
        <v>74</v>
      </c>
      <c r="O144" s="963" t="s">
        <v>21</v>
      </c>
      <c r="P144" s="963" t="s">
        <v>36</v>
      </c>
      <c r="Q144" s="963" t="s">
        <v>229</v>
      </c>
      <c r="R144" s="194" t="s">
        <v>703</v>
      </c>
      <c r="S144" s="194" t="s">
        <v>99</v>
      </c>
      <c r="T144" s="211">
        <v>1</v>
      </c>
      <c r="U144" s="965" t="str">
        <f t="shared" si="71"/>
        <v xml:space="preserve">
Expedición actos administrativos iniciales ordenando el cobro.</v>
      </c>
      <c r="V144" s="951">
        <f t="shared" si="71"/>
        <v>0</v>
      </c>
      <c r="W144" s="953" t="s">
        <v>117</v>
      </c>
      <c r="X144" s="216">
        <v>0.1</v>
      </c>
      <c r="Y144" s="955" t="s">
        <v>702</v>
      </c>
      <c r="Z144" s="957">
        <v>0</v>
      </c>
      <c r="AA144" s="196"/>
      <c r="AB144" s="959"/>
      <c r="AC144" s="969">
        <f>+(AA144/X144)</f>
        <v>0</v>
      </c>
      <c r="AD144" s="967" t="e">
        <f>+(AA145/X145)</f>
        <v>#DIV/0!</v>
      </c>
      <c r="AE144" s="967">
        <f>+(AA144/T144)</f>
        <v>0</v>
      </c>
      <c r="AF144" s="967" t="e">
        <f>+(X145/T145)</f>
        <v>#DIV/0!</v>
      </c>
      <c r="AG144" s="216">
        <v>0.3</v>
      </c>
      <c r="AH144" s="961" t="s">
        <v>702</v>
      </c>
      <c r="AI144" s="957">
        <v>0</v>
      </c>
      <c r="AJ144" s="196"/>
      <c r="AK144" s="959"/>
      <c r="AL144" s="967">
        <f>+(AJ144/AG144)</f>
        <v>0</v>
      </c>
      <c r="AM144" s="967" t="e">
        <f>+(AJ145/AG145)</f>
        <v>#DIV/0!</v>
      </c>
      <c r="AN144" s="967">
        <f>+(AJ144+AA144)/T144</f>
        <v>0</v>
      </c>
      <c r="AO144" s="967" t="e">
        <f>+(AG145/AC145)</f>
        <v>#DIV/0!</v>
      </c>
      <c r="AP144" s="216">
        <v>0.3</v>
      </c>
      <c r="AQ144" s="214" t="s">
        <v>702</v>
      </c>
      <c r="AR144" s="210">
        <v>0</v>
      </c>
      <c r="AS144" s="196"/>
      <c r="AT144" s="196"/>
      <c r="AU144" s="216">
        <f t="shared" si="75"/>
        <v>0</v>
      </c>
      <c r="AV144" s="216" t="e">
        <f t="shared" si="76"/>
        <v>#DIV/0!</v>
      </c>
      <c r="AW144" s="216">
        <f t="shared" si="77"/>
        <v>0</v>
      </c>
      <c r="AX144" s="216" t="e">
        <f t="shared" si="78"/>
        <v>#DIV/0!</v>
      </c>
      <c r="AY144" s="216">
        <v>0.3</v>
      </c>
      <c r="AZ144" s="214" t="s">
        <v>702</v>
      </c>
      <c r="BA144" s="210">
        <v>0</v>
      </c>
      <c r="BB144" s="196"/>
      <c r="BC144" s="196"/>
      <c r="BD144" s="216">
        <f t="shared" si="79"/>
        <v>0</v>
      </c>
      <c r="BE144" s="216" t="e">
        <f t="shared" si="80"/>
        <v>#DIV/0!</v>
      </c>
      <c r="BF144" s="216">
        <f t="shared" si="81"/>
        <v>0</v>
      </c>
      <c r="BG144" s="216" t="e">
        <f t="shared" si="82"/>
        <v>#DIV/0!</v>
      </c>
      <c r="BH144" s="217">
        <f t="shared" si="65"/>
        <v>0</v>
      </c>
      <c r="BI144" s="217" t="str">
        <f t="shared" si="66"/>
        <v>No Prog ni Ejec</v>
      </c>
      <c r="BJ144" s="217">
        <f t="shared" si="67"/>
        <v>0</v>
      </c>
      <c r="BK144" s="217" t="str">
        <f t="shared" si="68"/>
        <v>No Prog ni Ejec</v>
      </c>
      <c r="BL144" s="217">
        <f t="shared" si="83"/>
        <v>0</v>
      </c>
      <c r="BM144" s="217" t="str">
        <f t="shared" si="84"/>
        <v>No Prog ni Ejec</v>
      </c>
      <c r="BN144" s="217">
        <f t="shared" si="69"/>
        <v>0</v>
      </c>
      <c r="BO144" s="217" t="str">
        <f t="shared" si="70"/>
        <v>No Prog ni Ejec</v>
      </c>
      <c r="BP144" s="206"/>
      <c r="BQ144" s="277">
        <v>31</v>
      </c>
      <c r="BR144" s="208">
        <f t="shared" si="59"/>
        <v>0.5</v>
      </c>
      <c r="BS144" s="943" t="str">
        <f t="shared" si="85"/>
        <v xml:space="preserve">
Expedición actos administrativos iniciales ordenando el cobro.</v>
      </c>
      <c r="BT144" s="195">
        <f t="shared" si="58"/>
        <v>0</v>
      </c>
      <c r="BU144" s="196"/>
      <c r="BV144" s="196"/>
      <c r="BW144" s="196"/>
      <c r="BX144" s="196"/>
      <c r="BY144" s="196"/>
      <c r="BZ144" s="196"/>
      <c r="CA144" s="146"/>
      <c r="CB144" s="146"/>
      <c r="CC144" s="146"/>
      <c r="CD144" s="146"/>
      <c r="CE144" s="146"/>
      <c r="CF144" s="146"/>
      <c r="CG144" s="146"/>
      <c r="CH144" s="146"/>
      <c r="CI144" s="146"/>
      <c r="CJ144" s="146"/>
      <c r="CK144" s="146"/>
      <c r="CL144" s="146"/>
      <c r="CM144" s="146"/>
      <c r="CN144" s="146"/>
      <c r="CO144" s="146"/>
      <c r="CP144" s="146"/>
      <c r="CQ144" s="146"/>
      <c r="CR144" s="146"/>
      <c r="CS144" s="146"/>
      <c r="CT144" s="146"/>
      <c r="CU144" s="146"/>
      <c r="CV144" s="146"/>
      <c r="CW144" s="146"/>
      <c r="CX144" s="146"/>
      <c r="CY144" s="146"/>
      <c r="CZ144" s="146"/>
      <c r="DA144" s="146"/>
      <c r="DB144" s="146"/>
      <c r="DC144" s="146"/>
      <c r="DD144" s="146"/>
      <c r="DE144" s="146"/>
      <c r="DF144" s="146"/>
      <c r="DG144" s="146"/>
      <c r="DH144" s="146"/>
      <c r="DI144" s="146"/>
      <c r="DJ144" s="146"/>
      <c r="DK144" s="146"/>
      <c r="DL144" s="146"/>
      <c r="DM144" s="146"/>
      <c r="DN144" s="146"/>
      <c r="DO144" s="146"/>
      <c r="DP144" s="146"/>
      <c r="DQ144" s="146"/>
      <c r="DR144" s="146"/>
      <c r="DS144" s="146"/>
      <c r="DT144" s="146"/>
      <c r="DU144" s="146"/>
      <c r="DV144" s="146"/>
      <c r="DW144" s="146"/>
      <c r="DX144" s="146"/>
      <c r="DY144" s="146"/>
      <c r="DZ144" s="146"/>
      <c r="EA144" s="146"/>
      <c r="EB144" s="146"/>
      <c r="EC144" s="146"/>
      <c r="ED144" s="146"/>
      <c r="EE144" s="146"/>
      <c r="EF144" s="146"/>
      <c r="EG144" s="146"/>
      <c r="EH144" s="146"/>
      <c r="EI144" s="146"/>
      <c r="EJ144" s="146"/>
      <c r="EK144" s="146"/>
      <c r="EL144" s="146"/>
      <c r="EM144" s="146"/>
      <c r="EN144" s="146"/>
      <c r="EO144" s="146"/>
      <c r="EP144" s="146"/>
      <c r="EQ144" s="146"/>
      <c r="ER144" s="146"/>
      <c r="ES144" s="146"/>
      <c r="ET144" s="146"/>
      <c r="EU144" s="146"/>
      <c r="EV144" s="146"/>
      <c r="EW144" s="146"/>
      <c r="EX144" s="146"/>
      <c r="EY144" s="146"/>
      <c r="EZ144" s="146"/>
      <c r="FA144" s="146"/>
      <c r="FB144" s="146"/>
      <c r="FC144" s="146"/>
      <c r="FD144" s="146"/>
      <c r="FE144" s="146"/>
      <c r="FF144" s="146"/>
      <c r="FG144" s="146"/>
      <c r="FH144" s="146"/>
      <c r="FI144" s="146"/>
      <c r="FJ144" s="146"/>
      <c r="FK144" s="146"/>
      <c r="FL144" s="146"/>
      <c r="FM144" s="146"/>
      <c r="FN144" s="146"/>
      <c r="FO144" s="146"/>
      <c r="FP144" s="146"/>
      <c r="FQ144" s="146"/>
      <c r="FR144" s="146"/>
      <c r="FS144" s="146"/>
      <c r="FT144" s="146"/>
      <c r="FU144" s="146"/>
      <c r="FV144" s="146"/>
      <c r="FW144" s="146"/>
      <c r="FX144" s="146"/>
      <c r="FY144" s="146"/>
      <c r="FZ144" s="146"/>
      <c r="GA144" s="146"/>
      <c r="GB144" s="146"/>
      <c r="GC144" s="146"/>
      <c r="GD144" s="146"/>
      <c r="GE144" s="146"/>
      <c r="GF144" s="146"/>
      <c r="GG144" s="146"/>
      <c r="GH144" s="146"/>
      <c r="GI144" s="146"/>
      <c r="GJ144" s="146"/>
      <c r="GK144" s="146"/>
      <c r="GL144" s="146"/>
      <c r="GM144" s="146"/>
      <c r="GN144" s="146"/>
      <c r="GO144" s="146"/>
      <c r="GP144" s="146"/>
      <c r="GQ144" s="146"/>
      <c r="GR144" s="146"/>
      <c r="GS144" s="146"/>
      <c r="GT144" s="146"/>
      <c r="GU144" s="146"/>
      <c r="GV144" s="146"/>
      <c r="GW144" s="146"/>
      <c r="GX144" s="146"/>
      <c r="GY144" s="146"/>
      <c r="GZ144" s="146"/>
      <c r="HA144" s="146"/>
      <c r="HB144" s="146"/>
      <c r="HC144" s="146"/>
      <c r="HD144" s="146"/>
      <c r="HE144" s="146"/>
      <c r="HF144" s="146"/>
      <c r="HG144" s="146"/>
      <c r="HH144" s="146"/>
      <c r="HI144" s="146"/>
      <c r="HJ144" s="146"/>
      <c r="HK144" s="146"/>
      <c r="HL144" s="146"/>
      <c r="HM144" s="146"/>
      <c r="HN144" s="146"/>
      <c r="HO144" s="146"/>
      <c r="HP144" s="146"/>
      <c r="HQ144" s="146"/>
      <c r="HR144" s="146"/>
      <c r="HS144" s="146"/>
      <c r="HT144" s="146"/>
      <c r="HU144" s="146"/>
      <c r="HV144" s="146"/>
      <c r="HW144" s="146"/>
      <c r="HX144" s="146"/>
      <c r="HY144" s="146"/>
      <c r="HZ144" s="146"/>
      <c r="IA144" s="146"/>
    </row>
    <row r="145" spans="1:235" s="153" customFormat="1" ht="128.25" x14ac:dyDescent="0.25">
      <c r="A145" s="197">
        <v>11900</v>
      </c>
      <c r="B145" s="194" t="s">
        <v>349</v>
      </c>
      <c r="C145" s="198" t="s">
        <v>357</v>
      </c>
      <c r="D145" s="194" t="s">
        <v>146</v>
      </c>
      <c r="E145" s="954"/>
      <c r="F145" s="972"/>
      <c r="G145" s="954"/>
      <c r="H145" s="200"/>
      <c r="I145" s="954"/>
      <c r="J145" s="964"/>
      <c r="K145" s="958"/>
      <c r="L145" s="203"/>
      <c r="M145" s="964"/>
      <c r="N145" s="964"/>
      <c r="O145" s="964"/>
      <c r="P145" s="964"/>
      <c r="Q145" s="964"/>
      <c r="R145" s="201" t="s">
        <v>845</v>
      </c>
      <c r="S145" s="194" t="s">
        <v>99</v>
      </c>
      <c r="T145" s="202"/>
      <c r="U145" s="966"/>
      <c r="V145" s="952"/>
      <c r="W145" s="954"/>
      <c r="X145" s="200"/>
      <c r="Y145" s="956"/>
      <c r="Z145" s="958"/>
      <c r="AA145" s="196"/>
      <c r="AB145" s="960"/>
      <c r="AC145" s="970"/>
      <c r="AD145" s="968"/>
      <c r="AE145" s="968"/>
      <c r="AF145" s="968"/>
      <c r="AG145" s="200"/>
      <c r="AH145" s="962"/>
      <c r="AI145" s="958"/>
      <c r="AJ145" s="196"/>
      <c r="AK145" s="960"/>
      <c r="AL145" s="968"/>
      <c r="AM145" s="968"/>
      <c r="AN145" s="968"/>
      <c r="AO145" s="968"/>
      <c r="AP145" s="200"/>
      <c r="AQ145" s="214"/>
      <c r="AR145" s="210"/>
      <c r="AS145" s="196"/>
      <c r="AT145" s="196"/>
      <c r="AU145" s="216"/>
      <c r="AV145" s="216"/>
      <c r="AW145" s="216"/>
      <c r="AX145" s="216"/>
      <c r="AY145" s="200"/>
      <c r="AZ145" s="214"/>
      <c r="BA145" s="210"/>
      <c r="BB145" s="196"/>
      <c r="BC145" s="196"/>
      <c r="BD145" s="216"/>
      <c r="BE145" s="216"/>
      <c r="BF145" s="216"/>
      <c r="BG145" s="216"/>
      <c r="BH145" s="217"/>
      <c r="BI145" s="217"/>
      <c r="BJ145" s="217"/>
      <c r="BK145" s="217"/>
      <c r="BL145" s="217"/>
      <c r="BM145" s="217"/>
      <c r="BN145" s="217"/>
      <c r="BO145" s="217"/>
      <c r="BP145" s="206"/>
      <c r="BQ145" s="277">
        <v>31</v>
      </c>
      <c r="BR145" s="208">
        <f t="shared" si="59"/>
        <v>0</v>
      </c>
      <c r="BS145" s="943"/>
      <c r="BT145" s="195">
        <f t="shared" si="58"/>
        <v>0</v>
      </c>
      <c r="BU145" s="196"/>
      <c r="BV145" s="196"/>
      <c r="BW145" s="196"/>
      <c r="BX145" s="196"/>
      <c r="BY145" s="196"/>
      <c r="BZ145" s="19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c r="DK145" s="146"/>
      <c r="DL145" s="146"/>
      <c r="DM145" s="146"/>
      <c r="DN145" s="146"/>
      <c r="DO145" s="146"/>
      <c r="DP145" s="146"/>
      <c r="DQ145" s="146"/>
      <c r="DR145" s="146"/>
      <c r="DS145" s="146"/>
      <c r="DT145" s="146"/>
      <c r="DU145" s="146"/>
      <c r="DV145" s="146"/>
      <c r="DW145" s="146"/>
      <c r="DX145" s="146"/>
      <c r="DY145" s="146"/>
      <c r="DZ145" s="146"/>
      <c r="EA145" s="146"/>
      <c r="EB145" s="146"/>
      <c r="EC145" s="146"/>
      <c r="ED145" s="146"/>
      <c r="EE145" s="146"/>
      <c r="EF145" s="146"/>
      <c r="EG145" s="146"/>
      <c r="EH145" s="146"/>
      <c r="EI145" s="146"/>
      <c r="EJ145" s="146"/>
      <c r="EK145" s="146"/>
      <c r="EL145" s="146"/>
      <c r="EM145" s="146"/>
      <c r="EN145" s="146"/>
      <c r="EO145" s="146"/>
      <c r="EP145" s="146"/>
      <c r="EQ145" s="146"/>
      <c r="ER145" s="146"/>
      <c r="ES145" s="146"/>
      <c r="ET145" s="146"/>
      <c r="EU145" s="146"/>
      <c r="EV145" s="146"/>
      <c r="EW145" s="146"/>
      <c r="EX145" s="146"/>
      <c r="EY145" s="146"/>
      <c r="EZ145" s="146"/>
      <c r="FA145" s="146"/>
      <c r="FB145" s="146"/>
      <c r="FC145" s="146"/>
      <c r="FD145" s="146"/>
      <c r="FE145" s="146"/>
      <c r="FF145" s="146"/>
      <c r="FG145" s="146"/>
      <c r="FH145" s="146"/>
      <c r="FI145" s="146"/>
      <c r="FJ145" s="146"/>
      <c r="FK145" s="146"/>
      <c r="FL145" s="146"/>
      <c r="FM145" s="146"/>
      <c r="FN145" s="146"/>
      <c r="FO145" s="146"/>
      <c r="FP145" s="146"/>
      <c r="FQ145" s="146"/>
      <c r="FR145" s="146"/>
      <c r="FS145" s="146"/>
      <c r="FT145" s="146"/>
      <c r="FU145" s="146"/>
      <c r="FV145" s="146"/>
      <c r="FW145" s="146"/>
      <c r="FX145" s="146"/>
      <c r="FY145" s="146"/>
      <c r="FZ145" s="146"/>
      <c r="GA145" s="146"/>
      <c r="GB145" s="146"/>
      <c r="GC145" s="146"/>
      <c r="GD145" s="146"/>
      <c r="GE145" s="146"/>
      <c r="GF145" s="146"/>
      <c r="GG145" s="146"/>
      <c r="GH145" s="146"/>
      <c r="GI145" s="146"/>
      <c r="GJ145" s="146"/>
      <c r="GK145" s="146"/>
      <c r="GL145" s="146"/>
      <c r="GM145" s="146"/>
      <c r="GN145" s="146"/>
      <c r="GO145" s="146"/>
      <c r="GP145" s="146"/>
      <c r="GQ145" s="146"/>
      <c r="GR145" s="146"/>
      <c r="GS145" s="146"/>
      <c r="GT145" s="146"/>
      <c r="GU145" s="146"/>
      <c r="GV145" s="146"/>
      <c r="GW145" s="146"/>
      <c r="GX145" s="146"/>
      <c r="GY145" s="146"/>
      <c r="GZ145" s="146"/>
      <c r="HA145" s="146"/>
      <c r="HB145" s="146"/>
      <c r="HC145" s="146"/>
      <c r="HD145" s="146"/>
      <c r="HE145" s="146"/>
      <c r="HF145" s="146"/>
      <c r="HG145" s="146"/>
      <c r="HH145" s="146"/>
      <c r="HI145" s="146"/>
      <c r="HJ145" s="146"/>
      <c r="HK145" s="146"/>
      <c r="HL145" s="146"/>
      <c r="HM145" s="146"/>
      <c r="HN145" s="146"/>
      <c r="HO145" s="146"/>
      <c r="HP145" s="146"/>
      <c r="HQ145" s="146"/>
      <c r="HR145" s="146"/>
      <c r="HS145" s="146"/>
      <c r="HT145" s="146"/>
      <c r="HU145" s="146"/>
      <c r="HV145" s="146"/>
      <c r="HW145" s="146"/>
      <c r="HX145" s="146"/>
      <c r="HY145" s="146"/>
      <c r="HZ145" s="146"/>
      <c r="IA145" s="146"/>
    </row>
    <row r="146" spans="1:235" s="153" customFormat="1" ht="57" x14ac:dyDescent="0.25">
      <c r="A146" s="197">
        <v>11900</v>
      </c>
      <c r="B146" s="194" t="s">
        <v>349</v>
      </c>
      <c r="C146" s="198" t="s">
        <v>357</v>
      </c>
      <c r="D146" s="194" t="s">
        <v>146</v>
      </c>
      <c r="E146" s="953" t="s">
        <v>719</v>
      </c>
      <c r="F146" s="963" t="s">
        <v>704</v>
      </c>
      <c r="G146" s="953" t="s">
        <v>123</v>
      </c>
      <c r="H146" s="216">
        <v>1</v>
      </c>
      <c r="I146" s="953" t="s">
        <v>720</v>
      </c>
      <c r="J146" s="963" t="s">
        <v>764</v>
      </c>
      <c r="K146" s="957">
        <v>0</v>
      </c>
      <c r="L146" s="211">
        <v>1</v>
      </c>
      <c r="M146" s="963" t="s">
        <v>46</v>
      </c>
      <c r="N146" s="963" t="s">
        <v>74</v>
      </c>
      <c r="O146" s="963" t="s">
        <v>21</v>
      </c>
      <c r="P146" s="963" t="s">
        <v>36</v>
      </c>
      <c r="Q146" s="963" t="s">
        <v>229</v>
      </c>
      <c r="R146" s="194" t="s">
        <v>706</v>
      </c>
      <c r="S146" s="194" t="s">
        <v>99</v>
      </c>
      <c r="T146" s="211">
        <v>1</v>
      </c>
      <c r="U146" s="965" t="str">
        <f>+J146</f>
        <v>Adelantar proceso coactivo a partir de la  ejecutoria del acto administrativo que ordenó el cobro.</v>
      </c>
      <c r="V146" s="951">
        <f t="shared" si="71"/>
        <v>0</v>
      </c>
      <c r="W146" s="953" t="s">
        <v>117</v>
      </c>
      <c r="X146" s="216">
        <v>0.25</v>
      </c>
      <c r="Y146" s="955" t="s">
        <v>764</v>
      </c>
      <c r="Z146" s="957">
        <v>0</v>
      </c>
      <c r="AA146" s="196"/>
      <c r="AB146" s="959"/>
      <c r="AC146" s="204">
        <f t="shared" si="72"/>
        <v>0</v>
      </c>
      <c r="AD146" s="216" t="e">
        <f t="shared" si="73"/>
        <v>#DIV/0!</v>
      </c>
      <c r="AE146" s="216">
        <f t="shared" si="60"/>
        <v>0</v>
      </c>
      <c r="AF146" s="216" t="e">
        <f t="shared" si="61"/>
        <v>#DIV/0!</v>
      </c>
      <c r="AG146" s="216">
        <v>0.25</v>
      </c>
      <c r="AH146" s="961" t="s">
        <v>764</v>
      </c>
      <c r="AI146" s="210">
        <v>0</v>
      </c>
      <c r="AJ146" s="196"/>
      <c r="AK146" s="196"/>
      <c r="AL146" s="216">
        <f t="shared" si="74"/>
        <v>0</v>
      </c>
      <c r="AM146" s="216" t="e">
        <f t="shared" si="62"/>
        <v>#DIV/0!</v>
      </c>
      <c r="AN146" s="216">
        <f t="shared" si="63"/>
        <v>0</v>
      </c>
      <c r="AO146" s="216" t="e">
        <f t="shared" si="64"/>
        <v>#DIV/0!</v>
      </c>
      <c r="AP146" s="216">
        <v>0.25</v>
      </c>
      <c r="AQ146" s="214" t="s">
        <v>764</v>
      </c>
      <c r="AR146" s="210">
        <v>0</v>
      </c>
      <c r="AS146" s="196"/>
      <c r="AT146" s="196"/>
      <c r="AU146" s="216">
        <f t="shared" si="75"/>
        <v>0</v>
      </c>
      <c r="AV146" s="216" t="e">
        <f t="shared" si="76"/>
        <v>#DIV/0!</v>
      </c>
      <c r="AW146" s="216">
        <f t="shared" si="77"/>
        <v>0</v>
      </c>
      <c r="AX146" s="216" t="e">
        <f t="shared" si="78"/>
        <v>#DIV/0!</v>
      </c>
      <c r="AY146" s="216">
        <v>0.25</v>
      </c>
      <c r="AZ146" s="214" t="s">
        <v>764</v>
      </c>
      <c r="BA146" s="210">
        <v>0</v>
      </c>
      <c r="BB146" s="196"/>
      <c r="BC146" s="196"/>
      <c r="BD146" s="216">
        <f t="shared" si="79"/>
        <v>0</v>
      </c>
      <c r="BE146" s="216" t="e">
        <f t="shared" si="80"/>
        <v>#DIV/0!</v>
      </c>
      <c r="BF146" s="216">
        <f t="shared" si="81"/>
        <v>0</v>
      </c>
      <c r="BG146" s="216" t="e">
        <f t="shared" si="82"/>
        <v>#DIV/0!</v>
      </c>
      <c r="BH146" s="217">
        <f t="shared" si="65"/>
        <v>0</v>
      </c>
      <c r="BI146" s="217" t="str">
        <f t="shared" si="66"/>
        <v>No Prog ni Ejec</v>
      </c>
      <c r="BJ146" s="217">
        <f t="shared" si="67"/>
        <v>0</v>
      </c>
      <c r="BK146" s="217" t="str">
        <f t="shared" si="68"/>
        <v>No Prog ni Ejec</v>
      </c>
      <c r="BL146" s="217">
        <f t="shared" si="83"/>
        <v>0</v>
      </c>
      <c r="BM146" s="217" t="str">
        <f t="shared" si="84"/>
        <v>No Prog ni Ejec</v>
      </c>
      <c r="BN146" s="217">
        <f t="shared" si="69"/>
        <v>0</v>
      </c>
      <c r="BO146" s="217" t="str">
        <f t="shared" si="70"/>
        <v>No Prog ni Ejec</v>
      </c>
      <c r="BP146" s="206"/>
      <c r="BQ146" s="277">
        <v>31</v>
      </c>
      <c r="BR146" s="208">
        <f t="shared" si="59"/>
        <v>0.58333333333333337</v>
      </c>
      <c r="BS146" s="943" t="str">
        <f t="shared" si="85"/>
        <v>Adelantar proceso coactivo a partir de la  ejecutoria del acto administrativo que ordenó el cobro.</v>
      </c>
      <c r="BT146" s="195">
        <f t="shared" si="58"/>
        <v>0</v>
      </c>
      <c r="BU146" s="196"/>
      <c r="BV146" s="196"/>
      <c r="BW146" s="196"/>
      <c r="BX146" s="196"/>
      <c r="BY146" s="196"/>
      <c r="BZ146" s="19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46"/>
      <c r="DL146" s="146"/>
      <c r="DM146" s="146"/>
      <c r="DN146" s="146"/>
      <c r="DO146" s="146"/>
      <c r="DP146" s="146"/>
      <c r="DQ146" s="146"/>
      <c r="DR146" s="146"/>
      <c r="DS146" s="146"/>
      <c r="DT146" s="146"/>
      <c r="DU146" s="146"/>
      <c r="DV146" s="146"/>
      <c r="DW146" s="146"/>
      <c r="DX146" s="146"/>
      <c r="DY146" s="146"/>
      <c r="DZ146" s="146"/>
      <c r="EA146" s="146"/>
      <c r="EB146" s="146"/>
      <c r="EC146" s="146"/>
      <c r="ED146" s="146"/>
      <c r="EE146" s="146"/>
      <c r="EF146" s="146"/>
      <c r="EG146" s="146"/>
      <c r="EH146" s="146"/>
      <c r="EI146" s="146"/>
      <c r="EJ146" s="146"/>
      <c r="EK146" s="146"/>
      <c r="EL146" s="146"/>
      <c r="EM146" s="146"/>
      <c r="EN146" s="146"/>
      <c r="EO146" s="146"/>
      <c r="EP146" s="146"/>
      <c r="EQ146" s="146"/>
      <c r="ER146" s="146"/>
      <c r="ES146" s="146"/>
      <c r="ET146" s="146"/>
      <c r="EU146" s="146"/>
      <c r="EV146" s="146"/>
      <c r="EW146" s="146"/>
      <c r="EX146" s="146"/>
      <c r="EY146" s="146"/>
      <c r="EZ146" s="146"/>
      <c r="FA146" s="146"/>
      <c r="FB146" s="146"/>
      <c r="FC146" s="146"/>
      <c r="FD146" s="146"/>
      <c r="FE146" s="146"/>
      <c r="FF146" s="146"/>
      <c r="FG146" s="146"/>
      <c r="FH146" s="146"/>
      <c r="FI146" s="146"/>
      <c r="FJ146" s="146"/>
      <c r="FK146" s="146"/>
      <c r="FL146" s="146"/>
      <c r="FM146" s="146"/>
      <c r="FN146" s="146"/>
      <c r="FO146" s="146"/>
      <c r="FP146" s="146"/>
      <c r="FQ146" s="146"/>
      <c r="FR146" s="146"/>
      <c r="FS146" s="146"/>
      <c r="FT146" s="146"/>
      <c r="FU146" s="146"/>
      <c r="FV146" s="146"/>
      <c r="FW146" s="146"/>
      <c r="FX146" s="146"/>
      <c r="FY146" s="146"/>
      <c r="FZ146" s="146"/>
      <c r="GA146" s="146"/>
      <c r="GB146" s="146"/>
      <c r="GC146" s="146"/>
      <c r="GD146" s="146"/>
      <c r="GE146" s="146"/>
      <c r="GF146" s="146"/>
      <c r="GG146" s="146"/>
      <c r="GH146" s="146"/>
      <c r="GI146" s="146"/>
      <c r="GJ146" s="146"/>
      <c r="GK146" s="146"/>
      <c r="GL146" s="146"/>
      <c r="GM146" s="146"/>
      <c r="GN146" s="146"/>
      <c r="GO146" s="146"/>
      <c r="GP146" s="146"/>
      <c r="GQ146" s="146"/>
      <c r="GR146" s="146"/>
      <c r="GS146" s="146"/>
      <c r="GT146" s="146"/>
      <c r="GU146" s="146"/>
      <c r="GV146" s="146"/>
      <c r="GW146" s="146"/>
      <c r="GX146" s="146"/>
      <c r="GY146" s="146"/>
      <c r="GZ146" s="146"/>
      <c r="HA146" s="146"/>
      <c r="HB146" s="146"/>
      <c r="HC146" s="146"/>
      <c r="HD146" s="146"/>
      <c r="HE146" s="146"/>
      <c r="HF146" s="146"/>
      <c r="HG146" s="146"/>
      <c r="HH146" s="146"/>
      <c r="HI146" s="146"/>
      <c r="HJ146" s="146"/>
      <c r="HK146" s="146"/>
      <c r="HL146" s="146"/>
      <c r="HM146" s="146"/>
      <c r="HN146" s="146"/>
      <c r="HO146" s="146"/>
      <c r="HP146" s="146"/>
      <c r="HQ146" s="146"/>
      <c r="HR146" s="146"/>
      <c r="HS146" s="146"/>
      <c r="HT146" s="146"/>
      <c r="HU146" s="146"/>
      <c r="HV146" s="146"/>
      <c r="HW146" s="146"/>
      <c r="HX146" s="146"/>
      <c r="HY146" s="146"/>
      <c r="HZ146" s="146"/>
      <c r="IA146" s="146"/>
    </row>
    <row r="147" spans="1:235" s="153" customFormat="1" ht="142.5" x14ac:dyDescent="0.25">
      <c r="A147" s="197">
        <v>11900</v>
      </c>
      <c r="B147" s="194" t="s">
        <v>349</v>
      </c>
      <c r="C147" s="198" t="s">
        <v>357</v>
      </c>
      <c r="D147" s="194" t="s">
        <v>146</v>
      </c>
      <c r="E147" s="954"/>
      <c r="F147" s="964"/>
      <c r="G147" s="954"/>
      <c r="H147" s="200"/>
      <c r="I147" s="954"/>
      <c r="J147" s="964"/>
      <c r="K147" s="958"/>
      <c r="L147" s="202"/>
      <c r="M147" s="964"/>
      <c r="N147" s="964"/>
      <c r="O147" s="964"/>
      <c r="P147" s="964"/>
      <c r="Q147" s="964"/>
      <c r="R147" s="201" t="s">
        <v>844</v>
      </c>
      <c r="S147" s="194" t="s">
        <v>99</v>
      </c>
      <c r="T147" s="202"/>
      <c r="U147" s="966"/>
      <c r="V147" s="952"/>
      <c r="W147" s="954"/>
      <c r="X147" s="200"/>
      <c r="Y147" s="956"/>
      <c r="Z147" s="958"/>
      <c r="AA147" s="196"/>
      <c r="AB147" s="960"/>
      <c r="AC147" s="204"/>
      <c r="AD147" s="216"/>
      <c r="AE147" s="216"/>
      <c r="AF147" s="216"/>
      <c r="AG147" s="200"/>
      <c r="AH147" s="962"/>
      <c r="AI147" s="210"/>
      <c r="AJ147" s="196"/>
      <c r="AK147" s="196"/>
      <c r="AL147" s="216"/>
      <c r="AM147" s="216"/>
      <c r="AN147" s="216"/>
      <c r="AO147" s="216"/>
      <c r="AP147" s="200"/>
      <c r="AQ147" s="214"/>
      <c r="AR147" s="210"/>
      <c r="AS147" s="196"/>
      <c r="AT147" s="196"/>
      <c r="AU147" s="216"/>
      <c r="AV147" s="216"/>
      <c r="AW147" s="216"/>
      <c r="AX147" s="216"/>
      <c r="AY147" s="200"/>
      <c r="AZ147" s="214"/>
      <c r="BA147" s="210"/>
      <c r="BB147" s="196"/>
      <c r="BC147" s="196"/>
      <c r="BD147" s="216"/>
      <c r="BE147" s="216"/>
      <c r="BF147" s="216"/>
      <c r="BG147" s="216"/>
      <c r="BH147" s="217"/>
      <c r="BI147" s="217"/>
      <c r="BJ147" s="217"/>
      <c r="BK147" s="217"/>
      <c r="BL147" s="217"/>
      <c r="BM147" s="217"/>
      <c r="BN147" s="217"/>
      <c r="BO147" s="217"/>
      <c r="BP147" s="206"/>
      <c r="BQ147" s="277">
        <v>31</v>
      </c>
      <c r="BR147" s="208">
        <f t="shared" si="59"/>
        <v>0</v>
      </c>
      <c r="BS147" s="943"/>
      <c r="BT147" s="195">
        <f t="shared" si="58"/>
        <v>0</v>
      </c>
      <c r="BU147" s="196"/>
      <c r="BV147" s="196"/>
      <c r="BW147" s="196"/>
      <c r="BX147" s="196"/>
      <c r="BY147" s="196"/>
      <c r="BZ147" s="196"/>
      <c r="CA147" s="146"/>
      <c r="CB147" s="146"/>
      <c r="CC147" s="146"/>
      <c r="CD147" s="146"/>
      <c r="CE147" s="146"/>
      <c r="CF147" s="146"/>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A147" s="146"/>
      <c r="DB147" s="146"/>
      <c r="DC147" s="146"/>
      <c r="DD147" s="146"/>
      <c r="DE147" s="146"/>
      <c r="DF147" s="146"/>
      <c r="DG147" s="146"/>
      <c r="DH147" s="146"/>
      <c r="DI147" s="146"/>
      <c r="DJ147" s="146"/>
      <c r="DK147" s="146"/>
      <c r="DL147" s="146"/>
      <c r="DM147" s="146"/>
      <c r="DN147" s="146"/>
      <c r="DO147" s="146"/>
      <c r="DP147" s="146"/>
      <c r="DQ147" s="146"/>
      <c r="DR147" s="146"/>
      <c r="DS147" s="146"/>
      <c r="DT147" s="146"/>
      <c r="DU147" s="146"/>
      <c r="DV147" s="146"/>
      <c r="DW147" s="146"/>
      <c r="DX147" s="146"/>
      <c r="DY147" s="146"/>
      <c r="DZ147" s="146"/>
      <c r="EA147" s="146"/>
      <c r="EB147" s="146"/>
      <c r="EC147" s="146"/>
      <c r="ED147" s="146"/>
      <c r="EE147" s="146"/>
      <c r="EF147" s="146"/>
      <c r="EG147" s="146"/>
      <c r="EH147" s="146"/>
      <c r="EI147" s="146"/>
      <c r="EJ147" s="146"/>
      <c r="EK147" s="146"/>
      <c r="EL147" s="146"/>
      <c r="EM147" s="146"/>
      <c r="EN147" s="146"/>
      <c r="EO147" s="146"/>
      <c r="EP147" s="146"/>
      <c r="EQ147" s="146"/>
      <c r="ER147" s="146"/>
      <c r="ES147" s="146"/>
      <c r="ET147" s="146"/>
      <c r="EU147" s="146"/>
      <c r="EV147" s="146"/>
      <c r="EW147" s="146"/>
      <c r="EX147" s="146"/>
      <c r="EY147" s="146"/>
      <c r="EZ147" s="146"/>
      <c r="FA147" s="146"/>
      <c r="FB147" s="146"/>
      <c r="FC147" s="146"/>
      <c r="FD147" s="146"/>
      <c r="FE147" s="146"/>
      <c r="FF147" s="146"/>
      <c r="FG147" s="146"/>
      <c r="FH147" s="146"/>
      <c r="FI147" s="146"/>
      <c r="FJ147" s="146"/>
      <c r="FK147" s="146"/>
      <c r="FL147" s="146"/>
      <c r="FM147" s="146"/>
      <c r="FN147" s="146"/>
      <c r="FO147" s="146"/>
      <c r="FP147" s="146"/>
      <c r="FQ147" s="146"/>
      <c r="FR147" s="146"/>
      <c r="FS147" s="146"/>
      <c r="FT147" s="146"/>
      <c r="FU147" s="146"/>
      <c r="FV147" s="146"/>
      <c r="FW147" s="146"/>
      <c r="FX147" s="146"/>
      <c r="FY147" s="146"/>
      <c r="FZ147" s="146"/>
      <c r="GA147" s="146"/>
      <c r="GB147" s="146"/>
      <c r="GC147" s="146"/>
      <c r="GD147" s="146"/>
      <c r="GE147" s="146"/>
      <c r="GF147" s="146"/>
      <c r="GG147" s="146"/>
      <c r="GH147" s="146"/>
      <c r="GI147" s="146"/>
      <c r="GJ147" s="146"/>
      <c r="GK147" s="146"/>
      <c r="GL147" s="146"/>
      <c r="GM147" s="146"/>
      <c r="GN147" s="146"/>
      <c r="GO147" s="146"/>
      <c r="GP147" s="146"/>
      <c r="GQ147" s="146"/>
      <c r="GR147" s="146"/>
      <c r="GS147" s="146"/>
      <c r="GT147" s="146"/>
      <c r="GU147" s="146"/>
      <c r="GV147" s="146"/>
      <c r="GW147" s="146"/>
      <c r="GX147" s="146"/>
      <c r="GY147" s="146"/>
      <c r="GZ147" s="146"/>
      <c r="HA147" s="146"/>
      <c r="HB147" s="146"/>
      <c r="HC147" s="146"/>
      <c r="HD147" s="146"/>
      <c r="HE147" s="146"/>
      <c r="HF147" s="146"/>
      <c r="HG147" s="146"/>
      <c r="HH147" s="146"/>
      <c r="HI147" s="146"/>
      <c r="HJ147" s="146"/>
      <c r="HK147" s="146"/>
      <c r="HL147" s="146"/>
      <c r="HM147" s="146"/>
      <c r="HN147" s="146"/>
      <c r="HO147" s="146"/>
      <c r="HP147" s="146"/>
      <c r="HQ147" s="146"/>
      <c r="HR147" s="146"/>
      <c r="HS147" s="146"/>
      <c r="HT147" s="146"/>
      <c r="HU147" s="146"/>
      <c r="HV147" s="146"/>
      <c r="HW147" s="146"/>
      <c r="HX147" s="146"/>
      <c r="HY147" s="146"/>
      <c r="HZ147" s="146"/>
      <c r="IA147" s="146"/>
    </row>
    <row r="148" spans="1:235" s="152" customFormat="1" ht="199.5" x14ac:dyDescent="0.25">
      <c r="A148" s="197">
        <v>11900</v>
      </c>
      <c r="B148" s="194" t="s">
        <v>349</v>
      </c>
      <c r="C148" s="198" t="s">
        <v>357</v>
      </c>
      <c r="D148" s="194" t="s">
        <v>146</v>
      </c>
      <c r="E148" s="198" t="s">
        <v>701</v>
      </c>
      <c r="F148" s="194" t="s">
        <v>712</v>
      </c>
      <c r="G148" s="209" t="s">
        <v>123</v>
      </c>
      <c r="H148" s="216">
        <v>1</v>
      </c>
      <c r="I148" s="198" t="s">
        <v>707</v>
      </c>
      <c r="J148" s="194" t="s">
        <v>468</v>
      </c>
      <c r="K148" s="210">
        <v>150000000</v>
      </c>
      <c r="L148" s="211">
        <v>1</v>
      </c>
      <c r="M148" s="194" t="s">
        <v>46</v>
      </c>
      <c r="N148" s="194" t="s">
        <v>74</v>
      </c>
      <c r="O148" s="194" t="s">
        <v>21</v>
      </c>
      <c r="P148" s="194" t="s">
        <v>36</v>
      </c>
      <c r="Q148" s="194" t="s">
        <v>229</v>
      </c>
      <c r="R148" s="194" t="s">
        <v>182</v>
      </c>
      <c r="S148" s="194" t="s">
        <v>99</v>
      </c>
      <c r="T148" s="211">
        <v>1</v>
      </c>
      <c r="U148" s="212" t="str">
        <f t="shared" si="71"/>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V148" s="213">
        <f t="shared" si="71"/>
        <v>150000000</v>
      </c>
      <c r="W148" s="222" t="s">
        <v>114</v>
      </c>
      <c r="X148" s="216">
        <v>0.25</v>
      </c>
      <c r="Y148" s="214" t="s">
        <v>468</v>
      </c>
      <c r="Z148" s="210">
        <f>+V148*X148</f>
        <v>37500000</v>
      </c>
      <c r="AA148" s="196"/>
      <c r="AB148" s="196"/>
      <c r="AC148" s="204">
        <f t="shared" si="72"/>
        <v>0</v>
      </c>
      <c r="AD148" s="216">
        <f t="shared" si="73"/>
        <v>0</v>
      </c>
      <c r="AE148" s="216">
        <f t="shared" si="60"/>
        <v>0</v>
      </c>
      <c r="AF148" s="216">
        <f t="shared" si="61"/>
        <v>0</v>
      </c>
      <c r="AG148" s="216">
        <v>0.25</v>
      </c>
      <c r="AH148" s="214" t="s">
        <v>468</v>
      </c>
      <c r="AI148" s="210">
        <v>37500000</v>
      </c>
      <c r="AJ148" s="196"/>
      <c r="AK148" s="196"/>
      <c r="AL148" s="216">
        <f t="shared" si="74"/>
        <v>0</v>
      </c>
      <c r="AM148" s="216">
        <f t="shared" si="62"/>
        <v>0</v>
      </c>
      <c r="AN148" s="216">
        <f t="shared" si="63"/>
        <v>0</v>
      </c>
      <c r="AO148" s="216">
        <f t="shared" si="64"/>
        <v>0</v>
      </c>
      <c r="AP148" s="216">
        <v>0.25</v>
      </c>
      <c r="AQ148" s="214" t="s">
        <v>468</v>
      </c>
      <c r="AR148" s="210">
        <v>37500000</v>
      </c>
      <c r="AS148" s="196"/>
      <c r="AT148" s="196"/>
      <c r="AU148" s="216">
        <f t="shared" si="75"/>
        <v>0</v>
      </c>
      <c r="AV148" s="216">
        <f t="shared" si="76"/>
        <v>0</v>
      </c>
      <c r="AW148" s="216">
        <f t="shared" si="77"/>
        <v>0</v>
      </c>
      <c r="AX148" s="216">
        <f t="shared" si="78"/>
        <v>0</v>
      </c>
      <c r="AY148" s="216">
        <v>0.25</v>
      </c>
      <c r="AZ148" s="214" t="s">
        <v>468</v>
      </c>
      <c r="BA148" s="210">
        <v>37500000</v>
      </c>
      <c r="BB148" s="196"/>
      <c r="BC148" s="196"/>
      <c r="BD148" s="216">
        <f t="shared" si="79"/>
        <v>0</v>
      </c>
      <c r="BE148" s="216">
        <f t="shared" si="80"/>
        <v>0</v>
      </c>
      <c r="BF148" s="216">
        <f t="shared" si="81"/>
        <v>0</v>
      </c>
      <c r="BG148" s="216">
        <f t="shared" si="82"/>
        <v>0</v>
      </c>
      <c r="BH148" s="243">
        <f t="shared" si="65"/>
        <v>0</v>
      </c>
      <c r="BI148" s="243">
        <f t="shared" si="66"/>
        <v>0</v>
      </c>
      <c r="BJ148" s="243">
        <f t="shared" si="67"/>
        <v>0</v>
      </c>
      <c r="BK148" s="243">
        <f t="shared" si="68"/>
        <v>0</v>
      </c>
      <c r="BL148" s="243">
        <f t="shared" si="83"/>
        <v>0</v>
      </c>
      <c r="BM148" s="243">
        <f t="shared" si="84"/>
        <v>0</v>
      </c>
      <c r="BN148" s="243">
        <f t="shared" si="69"/>
        <v>0</v>
      </c>
      <c r="BO148" s="243">
        <f t="shared" si="70"/>
        <v>0</v>
      </c>
      <c r="BP148" s="206"/>
      <c r="BQ148" s="277">
        <v>32</v>
      </c>
      <c r="BR148" s="208">
        <f t="shared" si="59"/>
        <v>0.58333333333333337</v>
      </c>
      <c r="BS148" s="219" t="str">
        <f t="shared" si="85"/>
        <v xml:space="preserve">Ejercer la representación judicial, contestación y seguimiento de trámite del recurso extraordinario de casación para las sentencias que resulten adveras a la Administradora de Recursos del Sistema General de Seguridad Social - ADRES, y sobre las cuales sea procedente su interposición; así  como asesoras y ejercer la representación judicial en procesos cuya relevancia y asuntos requieran de su intervención para la adecuada defensa de los intereses de dicha Entidad. </v>
      </c>
      <c r="BT148" s="195">
        <f t="shared" si="58"/>
        <v>87500000</v>
      </c>
      <c r="BU148" s="196"/>
      <c r="BV148" s="196"/>
      <c r="BW148" s="196"/>
      <c r="BX148" s="196"/>
      <c r="BY148" s="196"/>
      <c r="BZ148" s="196"/>
      <c r="CA148" s="146"/>
      <c r="CB148" s="146"/>
      <c r="CC148" s="146"/>
      <c r="CD148" s="146"/>
      <c r="CE148" s="146"/>
      <c r="CF148" s="146"/>
      <c r="CG148" s="146"/>
      <c r="CH148" s="146"/>
      <c r="CI148" s="146"/>
      <c r="CJ148" s="146"/>
      <c r="CK148" s="146"/>
      <c r="CL148" s="146"/>
      <c r="CM148" s="146"/>
      <c r="CN148" s="146"/>
      <c r="CO148" s="146"/>
      <c r="CP148" s="146"/>
      <c r="CQ148" s="146"/>
      <c r="CR148" s="146"/>
      <c r="CS148" s="146"/>
      <c r="CT148" s="146"/>
      <c r="CU148" s="146"/>
      <c r="CV148" s="146"/>
      <c r="CW148" s="146"/>
      <c r="CX148" s="146"/>
      <c r="CY148" s="146"/>
      <c r="CZ148" s="146"/>
      <c r="DA148" s="146"/>
      <c r="DB148" s="146"/>
      <c r="DC148" s="146"/>
      <c r="DD148" s="146"/>
      <c r="DE148" s="146"/>
      <c r="DF148" s="146"/>
      <c r="DG148" s="146"/>
      <c r="DH148" s="146"/>
      <c r="DI148" s="146"/>
      <c r="DJ148" s="146"/>
      <c r="DK148" s="146"/>
      <c r="DL148" s="146"/>
      <c r="DM148" s="146"/>
      <c r="DN148" s="146"/>
      <c r="DO148" s="146"/>
      <c r="DP148" s="146"/>
      <c r="DQ148" s="146"/>
      <c r="DR148" s="146"/>
      <c r="DS148" s="146"/>
      <c r="DT148" s="146"/>
      <c r="DU148" s="146"/>
      <c r="DV148" s="146"/>
      <c r="DW148" s="146"/>
      <c r="DX148" s="146"/>
      <c r="DY148" s="146"/>
      <c r="DZ148" s="146"/>
      <c r="EA148" s="146"/>
      <c r="EB148" s="146"/>
      <c r="EC148" s="146"/>
      <c r="ED148" s="146"/>
      <c r="EE148" s="146"/>
      <c r="EF148" s="146"/>
      <c r="EG148" s="146"/>
      <c r="EH148" s="146"/>
      <c r="EI148" s="146"/>
      <c r="EJ148" s="146"/>
      <c r="EK148" s="146"/>
      <c r="EL148" s="146"/>
      <c r="EM148" s="146"/>
      <c r="EN148" s="146"/>
      <c r="EO148" s="146"/>
      <c r="EP148" s="146"/>
      <c r="EQ148" s="146"/>
      <c r="ER148" s="146"/>
      <c r="ES148" s="146"/>
      <c r="ET148" s="146"/>
      <c r="EU148" s="146"/>
      <c r="EV148" s="146"/>
      <c r="EW148" s="146"/>
      <c r="EX148" s="146"/>
      <c r="EY148" s="146"/>
      <c r="EZ148" s="146"/>
      <c r="FA148" s="146"/>
      <c r="FB148" s="146"/>
      <c r="FC148" s="146"/>
      <c r="FD148" s="146"/>
      <c r="FE148" s="146"/>
      <c r="FF148" s="146"/>
      <c r="FG148" s="146"/>
      <c r="FH148" s="146"/>
      <c r="FI148" s="146"/>
      <c r="FJ148" s="146"/>
      <c r="FK148" s="146"/>
      <c r="FL148" s="146"/>
      <c r="FM148" s="146"/>
      <c r="FN148" s="146"/>
      <c r="FO148" s="146"/>
      <c r="FP148" s="146"/>
      <c r="FQ148" s="146"/>
      <c r="FR148" s="146"/>
      <c r="FS148" s="146"/>
      <c r="FT148" s="146"/>
      <c r="FU148" s="146"/>
      <c r="FV148" s="146"/>
      <c r="FW148" s="146"/>
      <c r="FX148" s="146"/>
      <c r="FY148" s="146"/>
      <c r="FZ148" s="146"/>
      <c r="GA148" s="146"/>
      <c r="GB148" s="146"/>
      <c r="GC148" s="146"/>
      <c r="GD148" s="146"/>
      <c r="GE148" s="146"/>
      <c r="GF148" s="146"/>
      <c r="GG148" s="146"/>
      <c r="GH148" s="146"/>
      <c r="GI148" s="146"/>
      <c r="GJ148" s="146"/>
      <c r="GK148" s="146"/>
      <c r="GL148" s="146"/>
      <c r="GM148" s="146"/>
      <c r="GN148" s="146"/>
      <c r="GO148" s="146"/>
      <c r="GP148" s="146"/>
      <c r="GQ148" s="146"/>
      <c r="GR148" s="146"/>
      <c r="GS148" s="146"/>
      <c r="GT148" s="146"/>
      <c r="GU148" s="146"/>
      <c r="GV148" s="146"/>
      <c r="GW148" s="146"/>
      <c r="GX148" s="146"/>
      <c r="GY148" s="146"/>
      <c r="GZ148" s="146"/>
      <c r="HA148" s="146"/>
      <c r="HB148" s="146"/>
      <c r="HC148" s="146"/>
      <c r="HD148" s="146"/>
      <c r="HE148" s="146"/>
      <c r="HF148" s="146"/>
      <c r="HG148" s="146"/>
      <c r="HH148" s="146"/>
      <c r="HI148" s="146"/>
      <c r="HJ148" s="146"/>
      <c r="HK148" s="146"/>
      <c r="HL148" s="146"/>
      <c r="HM148" s="146"/>
      <c r="HN148" s="146"/>
      <c r="HO148" s="146"/>
      <c r="HP148" s="146"/>
      <c r="HQ148" s="146"/>
      <c r="HR148" s="146"/>
      <c r="HS148" s="146"/>
      <c r="HT148" s="146"/>
      <c r="HU148" s="146"/>
      <c r="HV148" s="146"/>
      <c r="HW148" s="146"/>
      <c r="HX148" s="146"/>
      <c r="HY148" s="146"/>
      <c r="HZ148" s="146"/>
      <c r="IA148" s="146"/>
    </row>
    <row r="149" spans="1:235" s="152" customFormat="1" ht="199.5" x14ac:dyDescent="0.25">
      <c r="A149" s="197">
        <v>11900</v>
      </c>
      <c r="B149" s="194" t="s">
        <v>349</v>
      </c>
      <c r="C149" s="198" t="s">
        <v>357</v>
      </c>
      <c r="D149" s="194" t="s">
        <v>146</v>
      </c>
      <c r="E149" s="198" t="s">
        <v>721</v>
      </c>
      <c r="F149" s="194" t="s">
        <v>709</v>
      </c>
      <c r="G149" s="209" t="s">
        <v>123</v>
      </c>
      <c r="H149" s="216">
        <v>1</v>
      </c>
      <c r="I149" s="198" t="s">
        <v>708</v>
      </c>
      <c r="J149" s="194" t="s">
        <v>374</v>
      </c>
      <c r="K149" s="210">
        <v>144328579</v>
      </c>
      <c r="L149" s="211">
        <v>1</v>
      </c>
      <c r="M149" s="194" t="s">
        <v>46</v>
      </c>
      <c r="N149" s="194" t="s">
        <v>74</v>
      </c>
      <c r="O149" s="194" t="s">
        <v>21</v>
      </c>
      <c r="P149" s="194" t="s">
        <v>36</v>
      </c>
      <c r="Q149" s="194" t="s">
        <v>229</v>
      </c>
      <c r="R149" s="194" t="s">
        <v>182</v>
      </c>
      <c r="S149" s="194" t="s">
        <v>99</v>
      </c>
      <c r="T149" s="211">
        <v>1</v>
      </c>
      <c r="U149" s="212" t="str">
        <f t="shared" si="71"/>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V149" s="213">
        <f t="shared" si="71"/>
        <v>144328579</v>
      </c>
      <c r="W149" s="222" t="s">
        <v>114</v>
      </c>
      <c r="X149" s="216">
        <v>0.25</v>
      </c>
      <c r="Y149" s="214" t="s">
        <v>374</v>
      </c>
      <c r="Z149" s="210">
        <f>+V149*X149</f>
        <v>36082144.75</v>
      </c>
      <c r="AA149" s="196"/>
      <c r="AB149" s="196"/>
      <c r="AC149" s="204">
        <f t="shared" si="72"/>
        <v>0</v>
      </c>
      <c r="AD149" s="216">
        <f t="shared" si="73"/>
        <v>0</v>
      </c>
      <c r="AE149" s="216">
        <f t="shared" si="60"/>
        <v>0</v>
      </c>
      <c r="AF149" s="216">
        <f t="shared" si="61"/>
        <v>0</v>
      </c>
      <c r="AG149" s="216">
        <v>0.25</v>
      </c>
      <c r="AH149" s="214" t="s">
        <v>374</v>
      </c>
      <c r="AI149" s="210">
        <v>36082144.75</v>
      </c>
      <c r="AJ149" s="196"/>
      <c r="AK149" s="196"/>
      <c r="AL149" s="216">
        <f>+(AJ149/AG149)</f>
        <v>0</v>
      </c>
      <c r="AM149" s="216">
        <f>+(AK149/AI149)</f>
        <v>0</v>
      </c>
      <c r="AN149" s="216">
        <f>+(AJ149+AA149)/T149</f>
        <v>0</v>
      </c>
      <c r="AO149" s="216">
        <f>+(AK149+AB149)/V149</f>
        <v>0</v>
      </c>
      <c r="AP149" s="216">
        <v>0.25</v>
      </c>
      <c r="AQ149" s="214" t="s">
        <v>374</v>
      </c>
      <c r="AR149" s="210">
        <v>36082144.75</v>
      </c>
      <c r="AS149" s="196"/>
      <c r="AT149" s="196"/>
      <c r="AU149" s="216">
        <f t="shared" si="75"/>
        <v>0</v>
      </c>
      <c r="AV149" s="216">
        <f t="shared" si="76"/>
        <v>0</v>
      </c>
      <c r="AW149" s="216">
        <f t="shared" si="77"/>
        <v>0</v>
      </c>
      <c r="AX149" s="216">
        <f t="shared" si="78"/>
        <v>0</v>
      </c>
      <c r="AY149" s="216">
        <v>0.25</v>
      </c>
      <c r="AZ149" s="214" t="s">
        <v>374</v>
      </c>
      <c r="BA149" s="210">
        <v>36082144.75</v>
      </c>
      <c r="BB149" s="196"/>
      <c r="BC149" s="196"/>
      <c r="BD149" s="216">
        <f t="shared" si="79"/>
        <v>0</v>
      </c>
      <c r="BE149" s="216">
        <f t="shared" si="80"/>
        <v>0</v>
      </c>
      <c r="BF149" s="216">
        <f t="shared" si="81"/>
        <v>0</v>
      </c>
      <c r="BG149" s="216">
        <f t="shared" si="82"/>
        <v>0</v>
      </c>
      <c r="BH149" s="243">
        <f t="shared" si="65"/>
        <v>0</v>
      </c>
      <c r="BI149" s="243">
        <f t="shared" si="66"/>
        <v>0</v>
      </c>
      <c r="BJ149" s="243">
        <f t="shared" si="67"/>
        <v>0</v>
      </c>
      <c r="BK149" s="243">
        <f t="shared" si="68"/>
        <v>0</v>
      </c>
      <c r="BL149" s="243">
        <f t="shared" si="83"/>
        <v>0</v>
      </c>
      <c r="BM149" s="243">
        <f t="shared" si="84"/>
        <v>0</v>
      </c>
      <c r="BN149" s="243">
        <f t="shared" si="69"/>
        <v>0</v>
      </c>
      <c r="BO149" s="243">
        <f t="shared" si="70"/>
        <v>0</v>
      </c>
      <c r="BP149" s="206"/>
      <c r="BQ149" s="277">
        <v>32</v>
      </c>
      <c r="BR149" s="208">
        <f t="shared" si="59"/>
        <v>0.58333333333333337</v>
      </c>
      <c r="BS149" s="219" t="str">
        <f t="shared" si="85"/>
        <v>Prestar el servicio especializado de vigilancia judicial en cada uno de los procesos que cursan en los despachos judiciales de departamentos, ciudades y municipios del país, garantizando el reporte oportuno de todas las actuaciones, trámites y decisiones que se generen en los procesos judiciales en que sea parte la Administradora de los Recursos del Sistema General de Seguridad Social en Salud – ADRES o contra el entonces FOSYGA .</v>
      </c>
      <c r="BT149" s="195">
        <f t="shared" si="58"/>
        <v>84191671.083333328</v>
      </c>
      <c r="BU149" s="196"/>
      <c r="BV149" s="196"/>
      <c r="BW149" s="196"/>
      <c r="BX149" s="196"/>
      <c r="BY149" s="196"/>
      <c r="BZ149" s="196"/>
      <c r="CA149" s="146"/>
      <c r="CB149" s="146"/>
      <c r="CC149" s="146"/>
      <c r="CD149" s="146"/>
      <c r="CE149" s="146"/>
      <c r="CF149" s="146"/>
      <c r="CG149" s="146"/>
      <c r="CH149" s="146"/>
      <c r="CI149" s="146"/>
      <c r="CJ149" s="146"/>
      <c r="CK149" s="146"/>
      <c r="CL149" s="146"/>
      <c r="CM149" s="146"/>
      <c r="CN149" s="146"/>
      <c r="CO149" s="146"/>
      <c r="CP149" s="146"/>
      <c r="CQ149" s="146"/>
      <c r="CR149" s="146"/>
      <c r="CS149" s="146"/>
      <c r="CT149" s="146"/>
      <c r="CU149" s="146"/>
      <c r="CV149" s="146"/>
      <c r="CW149" s="146"/>
      <c r="CX149" s="146"/>
      <c r="CY149" s="146"/>
      <c r="CZ149" s="146"/>
      <c r="DA149" s="146"/>
      <c r="DB149" s="146"/>
      <c r="DC149" s="146"/>
      <c r="DD149" s="146"/>
      <c r="DE149" s="146"/>
      <c r="DF149" s="146"/>
      <c r="DG149" s="146"/>
      <c r="DH149" s="146"/>
      <c r="DI149" s="146"/>
      <c r="DJ149" s="146"/>
      <c r="DK149" s="146"/>
      <c r="DL149" s="146"/>
      <c r="DM149" s="146"/>
      <c r="DN149" s="146"/>
      <c r="DO149" s="146"/>
      <c r="DP149" s="146"/>
      <c r="DQ149" s="146"/>
      <c r="DR149" s="146"/>
      <c r="DS149" s="146"/>
      <c r="DT149" s="146"/>
      <c r="DU149" s="146"/>
      <c r="DV149" s="146"/>
      <c r="DW149" s="146"/>
      <c r="DX149" s="146"/>
      <c r="DY149" s="146"/>
      <c r="DZ149" s="146"/>
      <c r="EA149" s="146"/>
      <c r="EB149" s="146"/>
      <c r="EC149" s="146"/>
      <c r="ED149" s="146"/>
      <c r="EE149" s="146"/>
      <c r="EF149" s="146"/>
      <c r="EG149" s="146"/>
      <c r="EH149" s="146"/>
      <c r="EI149" s="146"/>
      <c r="EJ149" s="146"/>
      <c r="EK149" s="146"/>
      <c r="EL149" s="146"/>
      <c r="EM149" s="146"/>
      <c r="EN149" s="146"/>
      <c r="EO149" s="146"/>
      <c r="EP149" s="146"/>
      <c r="EQ149" s="146"/>
      <c r="ER149" s="146"/>
      <c r="ES149" s="146"/>
      <c r="ET149" s="146"/>
      <c r="EU149" s="146"/>
      <c r="EV149" s="146"/>
      <c r="EW149" s="146"/>
      <c r="EX149" s="146"/>
      <c r="EY149" s="146"/>
      <c r="EZ149" s="146"/>
      <c r="FA149" s="146"/>
      <c r="FB149" s="146"/>
      <c r="FC149" s="146"/>
      <c r="FD149" s="146"/>
      <c r="FE149" s="146"/>
      <c r="FF149" s="146"/>
      <c r="FG149" s="146"/>
      <c r="FH149" s="146"/>
      <c r="FI149" s="146"/>
      <c r="FJ149" s="146"/>
      <c r="FK149" s="146"/>
      <c r="FL149" s="146"/>
      <c r="FM149" s="146"/>
      <c r="FN149" s="146"/>
      <c r="FO149" s="146"/>
      <c r="FP149" s="146"/>
      <c r="FQ149" s="146"/>
      <c r="FR149" s="146"/>
      <c r="FS149" s="146"/>
      <c r="FT149" s="146"/>
      <c r="FU149" s="146"/>
      <c r="FV149" s="146"/>
      <c r="FW149" s="146"/>
      <c r="FX149" s="146"/>
      <c r="FY149" s="146"/>
      <c r="FZ149" s="146"/>
      <c r="GA149" s="146"/>
      <c r="GB149" s="146"/>
      <c r="GC149" s="146"/>
      <c r="GD149" s="146"/>
      <c r="GE149" s="146"/>
      <c r="GF149" s="146"/>
      <c r="GG149" s="146"/>
      <c r="GH149" s="146"/>
      <c r="GI149" s="146"/>
      <c r="GJ149" s="146"/>
      <c r="GK149" s="146"/>
      <c r="GL149" s="146"/>
      <c r="GM149" s="146"/>
      <c r="GN149" s="146"/>
      <c r="GO149" s="146"/>
      <c r="GP149" s="146"/>
      <c r="GQ149" s="146"/>
      <c r="GR149" s="146"/>
      <c r="GS149" s="146"/>
      <c r="GT149" s="146"/>
      <c r="GU149" s="146"/>
      <c r="GV149" s="146"/>
      <c r="GW149" s="146"/>
      <c r="GX149" s="146"/>
      <c r="GY149" s="146"/>
      <c r="GZ149" s="146"/>
      <c r="HA149" s="146"/>
      <c r="HB149" s="146"/>
      <c r="HC149" s="146"/>
      <c r="HD149" s="146"/>
      <c r="HE149" s="146"/>
      <c r="HF149" s="146"/>
      <c r="HG149" s="146"/>
      <c r="HH149" s="146"/>
      <c r="HI149" s="146"/>
      <c r="HJ149" s="146"/>
      <c r="HK149" s="146"/>
      <c r="HL149" s="146"/>
      <c r="HM149" s="146"/>
      <c r="HN149" s="146"/>
      <c r="HO149" s="146"/>
      <c r="HP149" s="146"/>
      <c r="HQ149" s="146"/>
      <c r="HR149" s="146"/>
      <c r="HS149" s="146"/>
      <c r="HT149" s="146"/>
      <c r="HU149" s="146"/>
      <c r="HV149" s="146"/>
      <c r="HW149" s="146"/>
      <c r="HX149" s="146"/>
      <c r="HY149" s="146"/>
      <c r="HZ149" s="146"/>
      <c r="IA149" s="146"/>
    </row>
    <row r="150" spans="1:235" s="155" customFormat="1" ht="123.75" customHeight="1" thickBot="1" x14ac:dyDescent="0.3">
      <c r="A150" s="249">
        <v>11900</v>
      </c>
      <c r="B150" s="250" t="s">
        <v>349</v>
      </c>
      <c r="C150" s="251" t="s">
        <v>357</v>
      </c>
      <c r="D150" s="250" t="s">
        <v>146</v>
      </c>
      <c r="E150" s="251" t="s">
        <v>710</v>
      </c>
      <c r="F150" s="250" t="s">
        <v>713</v>
      </c>
      <c r="G150" s="252" t="s">
        <v>123</v>
      </c>
      <c r="H150" s="253">
        <v>1</v>
      </c>
      <c r="I150" s="251" t="s">
        <v>711</v>
      </c>
      <c r="J150" s="250" t="s">
        <v>375</v>
      </c>
      <c r="K150" s="254">
        <v>163716856</v>
      </c>
      <c r="L150" s="255">
        <v>1</v>
      </c>
      <c r="M150" s="250" t="s">
        <v>46</v>
      </c>
      <c r="N150" s="250" t="s">
        <v>74</v>
      </c>
      <c r="O150" s="250" t="s">
        <v>21</v>
      </c>
      <c r="P150" s="250" t="s">
        <v>36</v>
      </c>
      <c r="Q150" s="250" t="s">
        <v>229</v>
      </c>
      <c r="R150" s="250" t="s">
        <v>714</v>
      </c>
      <c r="S150" s="250" t="s">
        <v>99</v>
      </c>
      <c r="T150" s="255">
        <v>1</v>
      </c>
      <c r="U150" s="256" t="str">
        <f t="shared" si="71"/>
        <v>Ejercer la representación judicial en los procesos penales en que sea parte la Administradora de los Recursos del Sistema General de Seguridad Social en Salud – Administradora de los Recursos del Sistema General de Seguridad Social en Salud - ADRES.</v>
      </c>
      <c r="V150" s="257">
        <f t="shared" si="71"/>
        <v>163716856</v>
      </c>
      <c r="W150" s="222" t="s">
        <v>114</v>
      </c>
      <c r="X150" s="253">
        <v>0.25</v>
      </c>
      <c r="Y150" s="258" t="s">
        <v>375</v>
      </c>
      <c r="Z150" s="254">
        <f>+X150*V150</f>
        <v>40929214</v>
      </c>
      <c r="AA150" s="259"/>
      <c r="AB150" s="259"/>
      <c r="AC150" s="260">
        <f t="shared" si="72"/>
        <v>0</v>
      </c>
      <c r="AD150" s="253">
        <f t="shared" si="73"/>
        <v>0</v>
      </c>
      <c r="AE150" s="253">
        <f t="shared" si="60"/>
        <v>0</v>
      </c>
      <c r="AF150" s="253">
        <f t="shared" si="61"/>
        <v>0</v>
      </c>
      <c r="AG150" s="253">
        <v>0.25</v>
      </c>
      <c r="AH150" s="258" t="s">
        <v>375</v>
      </c>
      <c r="AI150" s="254">
        <v>40929214</v>
      </c>
      <c r="AJ150" s="259"/>
      <c r="AK150" s="259"/>
      <c r="AL150" s="253">
        <f t="shared" si="74"/>
        <v>0</v>
      </c>
      <c r="AM150" s="253">
        <f t="shared" si="62"/>
        <v>0</v>
      </c>
      <c r="AN150" s="253">
        <f t="shared" si="63"/>
        <v>0</v>
      </c>
      <c r="AO150" s="253">
        <f t="shared" si="64"/>
        <v>0</v>
      </c>
      <c r="AP150" s="253">
        <v>0.25</v>
      </c>
      <c r="AQ150" s="258" t="s">
        <v>375</v>
      </c>
      <c r="AR150" s="254">
        <v>40929214</v>
      </c>
      <c r="AS150" s="259"/>
      <c r="AT150" s="259"/>
      <c r="AU150" s="253">
        <f t="shared" si="75"/>
        <v>0</v>
      </c>
      <c r="AV150" s="253">
        <f t="shared" si="76"/>
        <v>0</v>
      </c>
      <c r="AW150" s="253">
        <f t="shared" si="77"/>
        <v>0</v>
      </c>
      <c r="AX150" s="253">
        <f t="shared" si="78"/>
        <v>0</v>
      </c>
      <c r="AY150" s="253">
        <v>0.25</v>
      </c>
      <c r="AZ150" s="258" t="s">
        <v>375</v>
      </c>
      <c r="BA150" s="254">
        <v>40929214</v>
      </c>
      <c r="BB150" s="259"/>
      <c r="BC150" s="259"/>
      <c r="BD150" s="253">
        <f t="shared" si="79"/>
        <v>0</v>
      </c>
      <c r="BE150" s="253">
        <f t="shared" si="80"/>
        <v>0</v>
      </c>
      <c r="BF150" s="253">
        <f t="shared" si="81"/>
        <v>0</v>
      </c>
      <c r="BG150" s="253">
        <f t="shared" si="82"/>
        <v>0</v>
      </c>
      <c r="BH150" s="261">
        <f t="shared" si="65"/>
        <v>0</v>
      </c>
      <c r="BI150" s="261">
        <f t="shared" si="66"/>
        <v>0</v>
      </c>
      <c r="BJ150" s="261">
        <f t="shared" si="67"/>
        <v>0</v>
      </c>
      <c r="BK150" s="261">
        <f t="shared" si="68"/>
        <v>0</v>
      </c>
      <c r="BL150" s="261">
        <f t="shared" si="83"/>
        <v>0</v>
      </c>
      <c r="BM150" s="261">
        <f t="shared" si="84"/>
        <v>0</v>
      </c>
      <c r="BN150" s="261">
        <f t="shared" si="69"/>
        <v>0</v>
      </c>
      <c r="BO150" s="261">
        <f t="shared" si="70"/>
        <v>0</v>
      </c>
      <c r="BP150" s="262"/>
      <c r="BQ150" s="277">
        <v>32</v>
      </c>
      <c r="BR150" s="208">
        <f t="shared" si="59"/>
        <v>0.58333333333333337</v>
      </c>
      <c r="BS150" s="219" t="str">
        <f t="shared" si="85"/>
        <v>Ejercer la representación judicial en los procesos penales en que sea parte la Administradora de los Recursos del Sistema General de Seguridad Social en Salud – Administradora de los Recursos del Sistema General de Seguridad Social en Salud - ADRES.</v>
      </c>
      <c r="BT150" s="195">
        <f t="shared" si="58"/>
        <v>95501499.333333328</v>
      </c>
      <c r="BU150" s="196"/>
      <c r="BV150" s="196"/>
      <c r="BW150" s="196"/>
      <c r="BX150" s="196"/>
      <c r="BY150" s="196"/>
      <c r="BZ150" s="19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46"/>
      <c r="DL150" s="146"/>
      <c r="DM150" s="146"/>
      <c r="DN150" s="146"/>
      <c r="DO150" s="146"/>
      <c r="DP150" s="146"/>
      <c r="DQ150" s="146"/>
      <c r="DR150" s="146"/>
      <c r="DS150" s="146"/>
      <c r="DT150" s="146"/>
      <c r="DU150" s="146"/>
      <c r="DV150" s="146"/>
      <c r="DW150" s="146"/>
      <c r="DX150" s="146"/>
      <c r="DY150" s="146"/>
      <c r="DZ150" s="146"/>
      <c r="EA150" s="146"/>
      <c r="EB150" s="146"/>
      <c r="EC150" s="146"/>
      <c r="ED150" s="146"/>
      <c r="EE150" s="146"/>
      <c r="EF150" s="146"/>
      <c r="EG150" s="146"/>
      <c r="EH150" s="146"/>
      <c r="EI150" s="146"/>
      <c r="EJ150" s="146"/>
      <c r="EK150" s="146"/>
      <c r="EL150" s="146"/>
      <c r="EM150" s="146"/>
      <c r="EN150" s="146"/>
      <c r="EO150" s="146"/>
      <c r="EP150" s="146"/>
      <c r="EQ150" s="146"/>
      <c r="ER150" s="146"/>
      <c r="ES150" s="146"/>
      <c r="ET150" s="146"/>
      <c r="EU150" s="146"/>
      <c r="EV150" s="146"/>
      <c r="EW150" s="146"/>
      <c r="EX150" s="146"/>
      <c r="EY150" s="146"/>
      <c r="EZ150" s="146"/>
      <c r="FA150" s="146"/>
      <c r="FB150" s="146"/>
      <c r="FC150" s="146"/>
      <c r="FD150" s="146"/>
      <c r="FE150" s="146"/>
      <c r="FF150" s="146"/>
      <c r="FG150" s="146"/>
      <c r="FH150" s="146"/>
      <c r="FI150" s="146"/>
      <c r="FJ150" s="146"/>
      <c r="FK150" s="146"/>
      <c r="FL150" s="146"/>
      <c r="FM150" s="146"/>
      <c r="FN150" s="146"/>
      <c r="FO150" s="146"/>
      <c r="FP150" s="146"/>
      <c r="FQ150" s="146"/>
      <c r="FR150" s="146"/>
      <c r="FS150" s="146"/>
      <c r="FT150" s="146"/>
      <c r="FU150" s="146"/>
      <c r="FV150" s="146"/>
      <c r="FW150" s="146"/>
      <c r="FX150" s="146"/>
      <c r="FY150" s="146"/>
      <c r="FZ150" s="146"/>
      <c r="GA150" s="146"/>
      <c r="GB150" s="146"/>
      <c r="GC150" s="146"/>
      <c r="GD150" s="146"/>
      <c r="GE150" s="146"/>
      <c r="GF150" s="146"/>
      <c r="GG150" s="146"/>
      <c r="GH150" s="146"/>
      <c r="GI150" s="146"/>
      <c r="GJ150" s="146"/>
      <c r="GK150" s="146"/>
      <c r="GL150" s="146"/>
      <c r="GM150" s="146"/>
      <c r="GN150" s="146"/>
      <c r="GO150" s="146"/>
      <c r="GP150" s="146"/>
      <c r="GQ150" s="146"/>
      <c r="GR150" s="146"/>
      <c r="GS150" s="146"/>
      <c r="GT150" s="146"/>
      <c r="GU150" s="146"/>
      <c r="GV150" s="146"/>
      <c r="GW150" s="146"/>
      <c r="GX150" s="146"/>
      <c r="GY150" s="146"/>
      <c r="GZ150" s="146"/>
      <c r="HA150" s="146"/>
      <c r="HB150" s="146"/>
      <c r="HC150" s="146"/>
      <c r="HD150" s="146"/>
      <c r="HE150" s="146"/>
      <c r="HF150" s="146"/>
      <c r="HG150" s="146"/>
      <c r="HH150" s="146"/>
      <c r="HI150" s="146"/>
      <c r="HJ150" s="146"/>
      <c r="HK150" s="146"/>
      <c r="HL150" s="146"/>
      <c r="HM150" s="146"/>
      <c r="HN150" s="146"/>
      <c r="HO150" s="146"/>
      <c r="HP150" s="146"/>
      <c r="HQ150" s="146"/>
      <c r="HR150" s="146"/>
      <c r="HS150" s="146"/>
      <c r="HT150" s="146"/>
      <c r="HU150" s="146"/>
      <c r="HV150" s="146"/>
      <c r="HW150" s="146"/>
      <c r="HX150" s="146"/>
      <c r="HY150" s="146"/>
      <c r="HZ150" s="146"/>
      <c r="IA150" s="146"/>
    </row>
    <row r="151" spans="1:235" x14ac:dyDescent="0.25">
      <c r="A151" s="173"/>
      <c r="B151" s="173"/>
      <c r="C151" s="173"/>
      <c r="D151" s="173"/>
      <c r="E151" s="173"/>
      <c r="F151" s="173"/>
      <c r="G151" s="263"/>
      <c r="H151" s="173"/>
      <c r="I151" s="173"/>
      <c r="J151" s="173"/>
      <c r="K151" s="264"/>
      <c r="L151" s="173"/>
      <c r="M151" s="173"/>
      <c r="N151" s="173"/>
      <c r="O151" s="173"/>
      <c r="P151" s="173"/>
      <c r="Q151" s="173"/>
      <c r="R151" s="173"/>
      <c r="S151" s="173"/>
      <c r="T151" s="173"/>
      <c r="U151" s="173"/>
      <c r="V151" s="173"/>
      <c r="W151" s="173"/>
      <c r="X151" s="265"/>
      <c r="Y151" s="265"/>
      <c r="Z151" s="265"/>
      <c r="AA151" s="265"/>
      <c r="AB151" s="265"/>
      <c r="AC151" s="265"/>
      <c r="AD151" s="265"/>
      <c r="AE151" s="265"/>
      <c r="AF151" s="265"/>
      <c r="AG151" s="265"/>
      <c r="AH151" s="288"/>
      <c r="AI151" s="265"/>
      <c r="AJ151" s="265"/>
      <c r="AK151" s="265"/>
      <c r="AL151" s="265"/>
      <c r="AM151" s="265"/>
      <c r="AN151" s="265"/>
      <c r="AO151" s="265"/>
      <c r="AP151" s="265"/>
      <c r="AQ151" s="265"/>
      <c r="AR151" s="265"/>
      <c r="AS151" s="265"/>
      <c r="AT151" s="265"/>
      <c r="AU151" s="265"/>
      <c r="AV151" s="265"/>
      <c r="AW151" s="265"/>
      <c r="AX151" s="265"/>
      <c r="AY151" s="265"/>
      <c r="AZ151" s="265"/>
      <c r="BA151" s="265"/>
      <c r="BB151" s="265"/>
      <c r="BC151" s="265"/>
      <c r="BD151" s="265"/>
      <c r="BE151" s="265"/>
      <c r="BF151" s="265"/>
      <c r="BG151" s="265"/>
      <c r="BH151" s="265"/>
      <c r="BI151" s="265"/>
      <c r="BJ151" s="265"/>
      <c r="BK151" s="265"/>
      <c r="BL151" s="265"/>
      <c r="BM151" s="265"/>
      <c r="BN151" s="265"/>
      <c r="BO151" s="265"/>
      <c r="BP151" s="265"/>
      <c r="BQ151" s="265"/>
      <c r="BR151" s="265"/>
      <c r="BS151" s="265"/>
      <c r="BT151" s="265"/>
      <c r="BU151" s="265"/>
      <c r="BV151" s="265"/>
      <c r="BW151" s="265"/>
      <c r="BX151" s="265"/>
      <c r="BY151" s="265"/>
      <c r="BZ151" s="265"/>
    </row>
    <row r="152" spans="1:235" x14ac:dyDescent="0.25">
      <c r="A152" s="176" t="s">
        <v>855</v>
      </c>
      <c r="B152" s="173"/>
      <c r="C152" s="173"/>
      <c r="D152" s="173"/>
      <c r="E152" s="173"/>
      <c r="F152" s="173"/>
      <c r="G152" s="263"/>
      <c r="H152" s="173"/>
      <c r="I152" s="173"/>
      <c r="J152" s="173"/>
      <c r="K152" s="264"/>
      <c r="L152" s="173"/>
      <c r="M152" s="173"/>
      <c r="N152" s="173"/>
      <c r="O152" s="173"/>
      <c r="P152" s="173"/>
      <c r="Q152" s="173"/>
      <c r="R152" s="173"/>
      <c r="S152" s="173"/>
      <c r="T152" s="173"/>
      <c r="U152" s="173"/>
      <c r="V152" s="173"/>
      <c r="W152" s="173"/>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c r="AY152" s="265"/>
      <c r="AZ152" s="265"/>
      <c r="BA152" s="265"/>
      <c r="BB152" s="265"/>
      <c r="BC152" s="265"/>
      <c r="BD152" s="265"/>
      <c r="BE152" s="265"/>
      <c r="BF152" s="265"/>
      <c r="BG152" s="265"/>
      <c r="BH152" s="944" t="s">
        <v>739</v>
      </c>
      <c r="BI152" s="945"/>
      <c r="BJ152" s="945"/>
      <c r="BK152" s="945"/>
      <c r="BL152" s="945"/>
      <c r="BM152" s="946"/>
      <c r="BN152" s="265"/>
      <c r="BO152" s="265"/>
      <c r="BP152" s="265"/>
      <c r="BQ152" s="265"/>
      <c r="BR152" s="265"/>
      <c r="BS152" s="265"/>
      <c r="BT152" s="265"/>
      <c r="BU152" s="265"/>
      <c r="BV152" s="265"/>
      <c r="BW152" s="265"/>
      <c r="BX152" s="265"/>
      <c r="BY152" s="265"/>
      <c r="BZ152" s="265"/>
    </row>
    <row r="153" spans="1:235" ht="15.75" thickBot="1" x14ac:dyDescent="0.3">
      <c r="A153" s="173"/>
      <c r="B153" s="173"/>
      <c r="C153" s="173"/>
      <c r="D153" s="173"/>
      <c r="E153" s="173"/>
      <c r="F153" s="173"/>
      <c r="G153" s="263"/>
      <c r="H153" s="173"/>
      <c r="I153" s="173"/>
      <c r="J153" s="173"/>
      <c r="K153" s="264"/>
      <c r="L153" s="173"/>
      <c r="M153" s="173"/>
      <c r="N153" s="173"/>
      <c r="O153" s="173"/>
      <c r="P153" s="173"/>
      <c r="Q153" s="173"/>
      <c r="R153" s="173"/>
      <c r="S153" s="173"/>
      <c r="T153" s="173"/>
      <c r="U153" s="173"/>
      <c r="V153" s="173"/>
      <c r="W153" s="173"/>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c r="AY153" s="265"/>
      <c r="AZ153" s="265"/>
      <c r="BA153" s="265"/>
      <c r="BB153" s="265"/>
      <c r="BC153" s="265"/>
      <c r="BD153" s="265"/>
      <c r="BE153" s="265"/>
      <c r="BF153" s="265"/>
      <c r="BG153" s="265"/>
      <c r="BH153" s="947" t="s">
        <v>740</v>
      </c>
      <c r="BI153" s="948"/>
      <c r="BJ153" s="938" t="s">
        <v>741</v>
      </c>
      <c r="BK153" s="939"/>
      <c r="BL153" s="939"/>
      <c r="BM153" s="940"/>
      <c r="BN153" s="265"/>
      <c r="BO153" s="265"/>
      <c r="BP153" s="265"/>
      <c r="BQ153" s="265"/>
      <c r="BR153" s="265"/>
      <c r="BS153" s="265"/>
      <c r="BT153" s="265"/>
      <c r="BU153" s="265"/>
      <c r="BV153" s="265"/>
      <c r="BW153" s="265"/>
      <c r="BX153" s="265"/>
      <c r="BY153" s="265"/>
      <c r="BZ153" s="265"/>
    </row>
    <row r="154" spans="1:235" ht="17.25" customHeight="1" thickBot="1" x14ac:dyDescent="0.3">
      <c r="A154" s="934" t="s">
        <v>856</v>
      </c>
      <c r="B154" s="935"/>
      <c r="C154" s="274" t="s">
        <v>857</v>
      </c>
      <c r="D154" s="173"/>
      <c r="E154" s="173"/>
      <c r="F154" s="173"/>
      <c r="G154" s="263"/>
      <c r="H154" s="173"/>
      <c r="I154" s="173"/>
      <c r="J154" s="173"/>
      <c r="K154" s="173"/>
      <c r="L154" s="173"/>
      <c r="M154" s="173"/>
      <c r="N154" s="173"/>
      <c r="O154" s="173"/>
      <c r="P154" s="173"/>
      <c r="Q154" s="173"/>
      <c r="R154" s="173"/>
      <c r="S154" s="173"/>
      <c r="T154" s="173"/>
      <c r="U154" s="173"/>
      <c r="V154" s="173"/>
      <c r="W154" s="173"/>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c r="AY154" s="265"/>
      <c r="AZ154" s="265"/>
      <c r="BA154" s="265"/>
      <c r="BB154" s="265"/>
      <c r="BC154" s="265"/>
      <c r="BD154" s="265"/>
      <c r="BE154" s="265"/>
      <c r="BF154" s="265"/>
      <c r="BG154" s="265"/>
      <c r="BH154" s="949" t="s">
        <v>778</v>
      </c>
      <c r="BI154" s="950"/>
      <c r="BJ154" s="938" t="s">
        <v>780</v>
      </c>
      <c r="BK154" s="939"/>
      <c r="BL154" s="939"/>
      <c r="BM154" s="940"/>
      <c r="BN154" s="265"/>
      <c r="BO154" s="265"/>
      <c r="BP154" s="265"/>
      <c r="BQ154" s="265"/>
      <c r="BR154" s="265"/>
      <c r="BS154" s="265"/>
      <c r="BT154" s="265"/>
      <c r="BU154" s="265"/>
      <c r="BV154" s="265"/>
      <c r="BW154" s="265"/>
      <c r="BX154" s="265"/>
      <c r="BY154" s="265"/>
      <c r="BZ154" s="265"/>
    </row>
    <row r="155" spans="1:235" x14ac:dyDescent="0.25">
      <c r="A155" s="920" t="s">
        <v>858</v>
      </c>
      <c r="B155" s="921"/>
      <c r="C155" s="272">
        <v>1</v>
      </c>
      <c r="D155" s="173"/>
      <c r="E155" s="173"/>
      <c r="F155" s="173"/>
      <c r="G155" s="263"/>
      <c r="H155" s="173"/>
      <c r="I155" s="173"/>
      <c r="J155" s="173"/>
      <c r="K155" s="264"/>
      <c r="L155" s="173"/>
      <c r="M155" s="173"/>
      <c r="N155" s="173"/>
      <c r="O155" s="173"/>
      <c r="P155" s="173"/>
      <c r="Q155" s="173"/>
      <c r="R155" s="173"/>
      <c r="S155" s="173"/>
      <c r="T155" s="173"/>
      <c r="U155" s="173"/>
      <c r="V155" s="173"/>
      <c r="W155" s="173"/>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936" t="s">
        <v>776</v>
      </c>
      <c r="BI155" s="937"/>
      <c r="BJ155" s="938" t="s">
        <v>747</v>
      </c>
      <c r="BK155" s="939"/>
      <c r="BL155" s="939"/>
      <c r="BM155" s="940"/>
      <c r="BN155" s="265"/>
      <c r="BO155" s="265"/>
      <c r="BP155" s="265"/>
      <c r="BQ155" s="265"/>
      <c r="BR155" s="265"/>
      <c r="BS155" s="265"/>
      <c r="BT155" s="265"/>
      <c r="BU155" s="265"/>
      <c r="BV155" s="265"/>
      <c r="BW155" s="265"/>
      <c r="BX155" s="265"/>
      <c r="BY155" s="265"/>
      <c r="BZ155" s="265"/>
    </row>
    <row r="156" spans="1:235" x14ac:dyDescent="0.25">
      <c r="A156" s="920" t="s">
        <v>859</v>
      </c>
      <c r="B156" s="921"/>
      <c r="C156" s="272">
        <v>2</v>
      </c>
      <c r="D156" s="173"/>
      <c r="E156" s="173"/>
      <c r="F156" s="173"/>
      <c r="G156" s="263"/>
      <c r="H156" s="173"/>
      <c r="I156" s="173"/>
      <c r="J156" s="173"/>
      <c r="K156" s="173"/>
      <c r="L156" s="173"/>
      <c r="M156" s="173"/>
      <c r="N156" s="173"/>
      <c r="O156" s="173"/>
      <c r="P156" s="173"/>
      <c r="Q156" s="173"/>
      <c r="R156" s="173"/>
      <c r="S156" s="173"/>
      <c r="T156" s="173"/>
      <c r="U156" s="173"/>
      <c r="V156" s="173"/>
      <c r="W156" s="173"/>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941" t="s">
        <v>852</v>
      </c>
      <c r="BI156" s="942"/>
      <c r="BJ156" s="938" t="s">
        <v>748</v>
      </c>
      <c r="BK156" s="939"/>
      <c r="BL156" s="939"/>
      <c r="BM156" s="940"/>
      <c r="BN156" s="265"/>
      <c r="BO156" s="265"/>
      <c r="BP156" s="265"/>
      <c r="BQ156" s="265"/>
      <c r="BR156" s="265"/>
      <c r="BS156" s="265"/>
      <c r="BT156" s="265"/>
      <c r="BU156" s="265"/>
      <c r="BV156" s="265"/>
      <c r="BW156" s="265"/>
      <c r="BX156" s="265"/>
      <c r="BY156" s="265"/>
      <c r="BZ156" s="265"/>
    </row>
    <row r="157" spans="1:235" x14ac:dyDescent="0.25">
      <c r="A157" s="920" t="s">
        <v>860</v>
      </c>
      <c r="B157" s="921"/>
      <c r="C157" s="272">
        <v>31</v>
      </c>
      <c r="D157" s="173"/>
      <c r="E157" s="173"/>
      <c r="F157" s="173"/>
      <c r="G157" s="263"/>
      <c r="H157" s="173"/>
      <c r="I157" s="173"/>
      <c r="J157" s="173"/>
      <c r="K157" s="173"/>
      <c r="L157" s="173"/>
      <c r="M157" s="173"/>
      <c r="N157" s="173"/>
      <c r="O157" s="173"/>
      <c r="P157" s="173"/>
      <c r="Q157" s="173"/>
      <c r="R157" s="173"/>
      <c r="S157" s="173"/>
      <c r="T157" s="173"/>
      <c r="U157" s="173"/>
      <c r="V157" s="173"/>
      <c r="W157" s="173"/>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932" t="s">
        <v>749</v>
      </c>
      <c r="BI157" s="932"/>
      <c r="BJ157" s="933" t="s">
        <v>750</v>
      </c>
      <c r="BK157" s="933"/>
      <c r="BL157" s="933"/>
      <c r="BM157" s="933"/>
      <c r="BN157" s="265"/>
      <c r="BO157" s="265"/>
      <c r="BP157" s="265"/>
      <c r="BQ157" s="265"/>
      <c r="BR157" s="265"/>
      <c r="BS157" s="265"/>
      <c r="BT157" s="265"/>
      <c r="BU157" s="265"/>
      <c r="BV157" s="265"/>
      <c r="BW157" s="265"/>
      <c r="BX157" s="265"/>
      <c r="BY157" s="265"/>
      <c r="BZ157" s="265"/>
    </row>
    <row r="158" spans="1:235" x14ac:dyDescent="0.25">
      <c r="A158" s="920" t="s">
        <v>861</v>
      </c>
      <c r="B158" s="921"/>
      <c r="C158" s="272">
        <v>32</v>
      </c>
      <c r="D158" s="173"/>
      <c r="E158" s="173"/>
      <c r="F158" s="173"/>
      <c r="G158" s="263"/>
      <c r="H158" s="173"/>
      <c r="I158" s="173"/>
      <c r="J158" s="173"/>
      <c r="K158" s="173"/>
      <c r="L158" s="173"/>
      <c r="M158" s="173"/>
      <c r="N158" s="173"/>
      <c r="O158" s="173"/>
      <c r="P158" s="173"/>
      <c r="Q158" s="173"/>
      <c r="R158" s="173"/>
      <c r="S158" s="173"/>
      <c r="T158" s="173"/>
      <c r="U158" s="173"/>
      <c r="V158" s="173"/>
      <c r="W158" s="173"/>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c r="AY158" s="265"/>
      <c r="AZ158" s="265"/>
      <c r="BA158" s="265"/>
      <c r="BB158" s="265"/>
      <c r="BC158" s="265"/>
      <c r="BD158" s="265"/>
      <c r="BE158" s="265"/>
      <c r="BF158" s="265"/>
      <c r="BG158" s="265"/>
      <c r="BH158" s="265"/>
      <c r="BI158" s="265"/>
      <c r="BJ158" s="265"/>
      <c r="BK158" s="265"/>
      <c r="BL158" s="265"/>
      <c r="BM158" s="265"/>
      <c r="BN158" s="265"/>
      <c r="BO158" s="265"/>
      <c r="BP158" s="265"/>
      <c r="BQ158" s="265"/>
      <c r="BR158" s="265"/>
      <c r="BS158" s="265"/>
      <c r="BT158" s="265"/>
      <c r="BU158" s="265"/>
      <c r="BV158" s="265"/>
      <c r="BW158" s="265"/>
      <c r="BX158" s="265"/>
      <c r="BY158" s="265"/>
      <c r="BZ158" s="265"/>
    </row>
    <row r="159" spans="1:235" x14ac:dyDescent="0.25">
      <c r="A159" s="920" t="s">
        <v>862</v>
      </c>
      <c r="B159" s="921"/>
      <c r="C159" s="272">
        <v>4</v>
      </c>
      <c r="D159" s="173"/>
      <c r="E159" s="173"/>
      <c r="F159" s="173"/>
      <c r="G159" s="263"/>
      <c r="H159" s="173"/>
      <c r="I159" s="173"/>
      <c r="J159" s="173"/>
      <c r="K159" s="173"/>
      <c r="L159" s="173"/>
      <c r="M159" s="173"/>
      <c r="N159" s="173"/>
      <c r="O159" s="173"/>
      <c r="P159" s="173"/>
      <c r="Q159" s="173"/>
      <c r="R159" s="173"/>
      <c r="S159" s="173"/>
      <c r="T159" s="173"/>
      <c r="U159" s="173"/>
      <c r="V159" s="173"/>
      <c r="W159" s="173"/>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c r="AY159" s="265"/>
      <c r="AZ159" s="265"/>
      <c r="BA159" s="265"/>
      <c r="BB159" s="265"/>
      <c r="BC159" s="265"/>
      <c r="BD159" s="265"/>
      <c r="BE159" s="265"/>
      <c r="BF159" s="265"/>
      <c r="BG159" s="265"/>
      <c r="BH159" s="265"/>
      <c r="BI159" s="265"/>
      <c r="BJ159" s="265"/>
      <c r="BK159" s="265"/>
      <c r="BL159" s="265"/>
      <c r="BM159" s="265"/>
      <c r="BN159" s="265"/>
      <c r="BO159" s="265"/>
      <c r="BP159" s="265"/>
      <c r="BQ159" s="265"/>
      <c r="BR159" s="265"/>
      <c r="BS159" s="265"/>
      <c r="BT159" s="265"/>
      <c r="BU159" s="265"/>
      <c r="BV159" s="265"/>
      <c r="BW159" s="265"/>
      <c r="BX159" s="265"/>
      <c r="BY159" s="265"/>
      <c r="BZ159" s="265"/>
    </row>
    <row r="160" spans="1:235" x14ac:dyDescent="0.25">
      <c r="A160" s="920" t="s">
        <v>863</v>
      </c>
      <c r="B160" s="921"/>
      <c r="C160" s="272">
        <v>5</v>
      </c>
      <c r="D160" s="173"/>
      <c r="E160" s="173"/>
      <c r="F160" s="173"/>
      <c r="G160" s="263"/>
      <c r="H160" s="173"/>
      <c r="I160" s="173"/>
      <c r="J160" s="173"/>
      <c r="K160" s="173"/>
      <c r="L160" s="173"/>
      <c r="M160" s="173"/>
      <c r="N160" s="173"/>
      <c r="O160" s="173"/>
      <c r="P160" s="173"/>
      <c r="Q160" s="173"/>
      <c r="R160" s="173"/>
      <c r="S160" s="173"/>
      <c r="T160" s="173"/>
      <c r="U160" s="173"/>
      <c r="V160" s="173"/>
      <c r="W160" s="173"/>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row>
    <row r="161" spans="1:78" x14ac:dyDescent="0.25">
      <c r="A161" s="920" t="s">
        <v>864</v>
      </c>
      <c r="B161" s="921"/>
      <c r="C161" s="272">
        <v>6</v>
      </c>
      <c r="D161" s="173"/>
      <c r="E161" s="173"/>
      <c r="F161" s="173"/>
      <c r="G161" s="263"/>
      <c r="H161" s="173"/>
      <c r="I161" s="173"/>
      <c r="J161" s="173"/>
      <c r="K161" s="173"/>
      <c r="L161" s="173"/>
      <c r="M161" s="173"/>
      <c r="N161" s="173"/>
      <c r="O161" s="173"/>
      <c r="P161" s="173"/>
      <c r="Q161" s="173"/>
      <c r="R161" s="173"/>
      <c r="S161" s="173"/>
      <c r="T161" s="173"/>
      <c r="U161" s="173"/>
      <c r="V161" s="173"/>
      <c r="W161" s="173"/>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row>
    <row r="162" spans="1:78" x14ac:dyDescent="0.25">
      <c r="A162" s="920" t="s">
        <v>865</v>
      </c>
      <c r="B162" s="921"/>
      <c r="C162" s="272">
        <v>7</v>
      </c>
      <c r="D162" s="173"/>
      <c r="E162" s="173"/>
      <c r="F162" s="173"/>
      <c r="G162" s="263"/>
      <c r="H162" s="173"/>
      <c r="I162" s="173"/>
      <c r="J162" s="173"/>
      <c r="K162" s="173"/>
      <c r="L162" s="173"/>
      <c r="M162" s="173"/>
      <c r="N162" s="173"/>
      <c r="O162" s="173"/>
      <c r="P162" s="173"/>
      <c r="Q162" s="173"/>
      <c r="R162" s="173"/>
      <c r="S162" s="173"/>
      <c r="T162" s="173"/>
      <c r="U162" s="173"/>
      <c r="V162" s="173"/>
      <c r="W162" s="173"/>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c r="AY162" s="265"/>
      <c r="AZ162" s="265"/>
      <c r="BA162" s="265"/>
      <c r="BB162" s="265"/>
      <c r="BC162" s="265"/>
      <c r="BD162" s="265"/>
      <c r="BE162" s="265"/>
      <c r="BF162" s="265"/>
      <c r="BG162" s="265"/>
      <c r="BH162" s="265"/>
      <c r="BI162" s="265"/>
      <c r="BJ162" s="265"/>
      <c r="BK162" s="265"/>
      <c r="BL162" s="265"/>
      <c r="BM162" s="265"/>
      <c r="BN162" s="265"/>
      <c r="BO162" s="265"/>
      <c r="BP162" s="265"/>
      <c r="BQ162" s="265"/>
      <c r="BR162" s="265"/>
      <c r="BS162" s="265"/>
      <c r="BT162" s="265"/>
      <c r="BU162" s="265"/>
      <c r="BV162" s="265"/>
      <c r="BW162" s="265"/>
      <c r="BX162" s="265"/>
      <c r="BY162" s="265"/>
      <c r="BZ162" s="265"/>
    </row>
    <row r="163" spans="1:78" x14ac:dyDescent="0.25">
      <c r="A163" s="920" t="s">
        <v>866</v>
      </c>
      <c r="B163" s="921"/>
      <c r="C163" s="272">
        <v>8</v>
      </c>
      <c r="D163" s="173"/>
      <c r="E163" s="173"/>
      <c r="F163" s="173"/>
      <c r="G163" s="263"/>
      <c r="H163" s="173"/>
      <c r="I163" s="173"/>
      <c r="J163" s="173"/>
      <c r="K163" s="173"/>
      <c r="L163" s="173"/>
      <c r="M163" s="173"/>
      <c r="N163" s="173"/>
      <c r="O163" s="173"/>
      <c r="P163" s="173"/>
      <c r="Q163" s="173"/>
      <c r="R163" s="173"/>
      <c r="S163" s="173"/>
      <c r="T163" s="173"/>
      <c r="U163" s="173"/>
      <c r="V163" s="173"/>
      <c r="W163" s="173"/>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c r="AY163" s="265"/>
      <c r="AZ163" s="265"/>
      <c r="BA163" s="265"/>
      <c r="BB163" s="265"/>
      <c r="BC163" s="265"/>
      <c r="BD163" s="265"/>
      <c r="BE163" s="265"/>
      <c r="BF163" s="265"/>
      <c r="BG163" s="265"/>
      <c r="BH163" s="265"/>
      <c r="BI163" s="265"/>
      <c r="BJ163" s="265"/>
      <c r="BK163" s="265"/>
      <c r="BL163" s="265"/>
      <c r="BM163" s="265"/>
      <c r="BN163" s="265"/>
      <c r="BO163" s="265"/>
      <c r="BP163" s="265"/>
      <c r="BQ163" s="265"/>
      <c r="BR163" s="265"/>
      <c r="BS163" s="265"/>
      <c r="BT163" s="265"/>
      <c r="BU163" s="265"/>
      <c r="BV163" s="265"/>
      <c r="BW163" s="265"/>
      <c r="BX163" s="265"/>
      <c r="BY163" s="265"/>
      <c r="BZ163" s="265"/>
    </row>
    <row r="164" spans="1:78" x14ac:dyDescent="0.25">
      <c r="A164" s="920" t="s">
        <v>867</v>
      </c>
      <c r="B164" s="921"/>
      <c r="C164" s="272">
        <v>9</v>
      </c>
      <c r="D164" s="173"/>
      <c r="E164" s="173"/>
      <c r="F164" s="173"/>
      <c r="G164" s="263"/>
      <c r="H164" s="173"/>
      <c r="I164" s="173"/>
      <c r="J164" s="173"/>
      <c r="K164" s="173"/>
      <c r="L164" s="173"/>
      <c r="M164" s="173"/>
      <c r="N164" s="173"/>
      <c r="O164" s="173"/>
      <c r="P164" s="173"/>
      <c r="Q164" s="173"/>
      <c r="R164" s="173"/>
      <c r="S164" s="173"/>
      <c r="T164" s="173"/>
      <c r="U164" s="173"/>
      <c r="V164" s="173"/>
      <c r="W164" s="173"/>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c r="AY164" s="265"/>
      <c r="AZ164" s="265"/>
      <c r="BA164" s="265"/>
      <c r="BB164" s="265"/>
      <c r="BC164" s="265"/>
      <c r="BD164" s="265"/>
      <c r="BE164" s="265"/>
      <c r="BF164" s="265"/>
      <c r="BG164" s="265"/>
      <c r="BH164" s="265"/>
      <c r="BI164" s="265"/>
      <c r="BJ164" s="265"/>
      <c r="BK164" s="265"/>
      <c r="BL164" s="265"/>
      <c r="BM164" s="265"/>
      <c r="BN164" s="265"/>
      <c r="BO164" s="265"/>
      <c r="BP164" s="265"/>
      <c r="BQ164" s="265"/>
      <c r="BR164" s="265"/>
      <c r="BS164" s="265"/>
      <c r="BT164" s="265"/>
      <c r="BU164" s="265"/>
      <c r="BV164" s="265"/>
      <c r="BW164" s="265"/>
      <c r="BX164" s="265"/>
      <c r="BY164" s="265"/>
      <c r="BZ164" s="265"/>
    </row>
    <row r="165" spans="1:78" x14ac:dyDescent="0.25">
      <c r="A165" s="920" t="s">
        <v>868</v>
      </c>
      <c r="B165" s="921"/>
      <c r="C165" s="272">
        <v>10</v>
      </c>
      <c r="D165" s="173"/>
      <c r="E165" s="173"/>
      <c r="F165" s="173"/>
      <c r="G165" s="263"/>
      <c r="H165" s="173"/>
      <c r="I165" s="173"/>
      <c r="J165" s="173"/>
      <c r="K165" s="173"/>
      <c r="L165" s="173"/>
      <c r="M165" s="173"/>
      <c r="N165" s="173"/>
      <c r="O165" s="173"/>
      <c r="P165" s="173"/>
      <c r="Q165" s="173"/>
      <c r="R165" s="173"/>
      <c r="S165" s="173"/>
      <c r="T165" s="173"/>
      <c r="U165" s="173"/>
      <c r="V165" s="173"/>
      <c r="W165" s="173"/>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c r="AY165" s="265"/>
      <c r="AZ165" s="265"/>
      <c r="BA165" s="265"/>
      <c r="BB165" s="265"/>
      <c r="BC165" s="265"/>
      <c r="BD165" s="265"/>
      <c r="BE165" s="265"/>
      <c r="BF165" s="265"/>
      <c r="BG165" s="265"/>
      <c r="BH165" s="265"/>
      <c r="BI165" s="265"/>
      <c r="BJ165" s="265"/>
      <c r="BK165" s="265"/>
      <c r="BL165" s="265"/>
      <c r="BM165" s="265"/>
      <c r="BN165" s="265"/>
      <c r="BO165" s="265"/>
      <c r="BP165" s="265"/>
      <c r="BQ165" s="265"/>
      <c r="BR165" s="265"/>
      <c r="BS165" s="265"/>
      <c r="BT165" s="265"/>
      <c r="BU165" s="265"/>
      <c r="BV165" s="265"/>
      <c r="BW165" s="265"/>
      <c r="BX165" s="265"/>
      <c r="BY165" s="265"/>
      <c r="BZ165" s="265"/>
    </row>
    <row r="166" spans="1:78" x14ac:dyDescent="0.25">
      <c r="A166" s="920" t="s">
        <v>869</v>
      </c>
      <c r="B166" s="921"/>
      <c r="C166" s="272">
        <v>11</v>
      </c>
      <c r="D166" s="173"/>
      <c r="E166" s="173"/>
      <c r="F166" s="173"/>
      <c r="G166" s="263"/>
      <c r="H166" s="173"/>
      <c r="I166" s="173"/>
      <c r="J166" s="173"/>
      <c r="K166" s="173"/>
      <c r="L166" s="173"/>
      <c r="M166" s="173"/>
      <c r="N166" s="173"/>
      <c r="O166" s="173"/>
      <c r="P166" s="173"/>
      <c r="Q166" s="173"/>
      <c r="R166" s="173"/>
      <c r="S166" s="173"/>
      <c r="T166" s="173"/>
      <c r="U166" s="173"/>
      <c r="V166" s="173"/>
      <c r="W166" s="173"/>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row>
    <row r="167" spans="1:78" ht="15.75" thickBot="1" x14ac:dyDescent="0.3">
      <c r="A167" s="930" t="s">
        <v>870</v>
      </c>
      <c r="B167" s="931"/>
      <c r="C167" s="162">
        <v>12</v>
      </c>
    </row>
  </sheetData>
  <autoFilter ref="A7:BR150"/>
  <mergeCells count="134">
    <mergeCell ref="D5:M5"/>
    <mergeCell ref="X6:AF6"/>
    <mergeCell ref="AG6:AO6"/>
    <mergeCell ref="AP6:AX6"/>
    <mergeCell ref="AY6:BG6"/>
    <mergeCell ref="BH6:BO6"/>
    <mergeCell ref="P9:P11"/>
    <mergeCell ref="Q9:Q11"/>
    <mergeCell ref="U9:U11"/>
    <mergeCell ref="V9:V11"/>
    <mergeCell ref="W9:W11"/>
    <mergeCell ref="Y9:Y11"/>
    <mergeCell ref="BK9:BK11"/>
    <mergeCell ref="BM9:BM11"/>
    <mergeCell ref="BO9:BO11"/>
    <mergeCell ref="BR6:BZ6"/>
    <mergeCell ref="E9:E11"/>
    <mergeCell ref="F9:F11"/>
    <mergeCell ref="I9:I11"/>
    <mergeCell ref="J9:J11"/>
    <mergeCell ref="K9:K11"/>
    <mergeCell ref="L9:L11"/>
    <mergeCell ref="M9:M11"/>
    <mergeCell ref="N9:N11"/>
    <mergeCell ref="O9:O11"/>
    <mergeCell ref="AK9:AK11"/>
    <mergeCell ref="AM9:AM11"/>
    <mergeCell ref="AO9:AO11"/>
    <mergeCell ref="AQ9:AQ11"/>
    <mergeCell ref="AR9:AR11"/>
    <mergeCell ref="AT9:AT11"/>
    <mergeCell ref="Z9:Z11"/>
    <mergeCell ref="AB9:AB11"/>
    <mergeCell ref="AD9:AD11"/>
    <mergeCell ref="AF9:AF11"/>
    <mergeCell ref="AH9:AH11"/>
    <mergeCell ref="AI9:AI11"/>
    <mergeCell ref="BG9:BG11"/>
    <mergeCell ref="BI9:BI11"/>
    <mergeCell ref="BS9:BS11"/>
    <mergeCell ref="AV9:AV11"/>
    <mergeCell ref="AX9:AX11"/>
    <mergeCell ref="AZ9:AZ11"/>
    <mergeCell ref="BA9:BA11"/>
    <mergeCell ref="BC9:BC11"/>
    <mergeCell ref="BE9:BE11"/>
    <mergeCell ref="K125:K129"/>
    <mergeCell ref="L125:L129"/>
    <mergeCell ref="K130:K132"/>
    <mergeCell ref="L130:L132"/>
    <mergeCell ref="E135:E136"/>
    <mergeCell ref="F135:F136"/>
    <mergeCell ref="G135:G136"/>
    <mergeCell ref="I135:I136"/>
    <mergeCell ref="J135:J136"/>
    <mergeCell ref="K135:K136"/>
    <mergeCell ref="M135:M136"/>
    <mergeCell ref="N135:N136"/>
    <mergeCell ref="O135:O136"/>
    <mergeCell ref="P135:P136"/>
    <mergeCell ref="Q135:Q136"/>
    <mergeCell ref="E144:E145"/>
    <mergeCell ref="F144:F145"/>
    <mergeCell ref="G144:G145"/>
    <mergeCell ref="I144:I145"/>
    <mergeCell ref="J144:J145"/>
    <mergeCell ref="U144:U145"/>
    <mergeCell ref="V144:V145"/>
    <mergeCell ref="W144:W145"/>
    <mergeCell ref="Y144:Y145"/>
    <mergeCell ref="Z144:Z145"/>
    <mergeCell ref="AB144:AB145"/>
    <mergeCell ref="K144:K145"/>
    <mergeCell ref="M144:M145"/>
    <mergeCell ref="N144:N145"/>
    <mergeCell ref="O144:O145"/>
    <mergeCell ref="P144:P145"/>
    <mergeCell ref="Q144:Q145"/>
    <mergeCell ref="AK144:AK145"/>
    <mergeCell ref="AL144:AL145"/>
    <mergeCell ref="AM144:AM145"/>
    <mergeCell ref="AN144:AN145"/>
    <mergeCell ref="AO144:AO145"/>
    <mergeCell ref="BS144:BS145"/>
    <mergeCell ref="AC144:AC145"/>
    <mergeCell ref="AD144:AD145"/>
    <mergeCell ref="AE144:AE145"/>
    <mergeCell ref="AF144:AF145"/>
    <mergeCell ref="AH144:AH145"/>
    <mergeCell ref="AI144:AI145"/>
    <mergeCell ref="M146:M147"/>
    <mergeCell ref="N146:N147"/>
    <mergeCell ref="O146:O147"/>
    <mergeCell ref="P146:P147"/>
    <mergeCell ref="Q146:Q147"/>
    <mergeCell ref="U146:U147"/>
    <mergeCell ref="E146:E147"/>
    <mergeCell ref="F146:F147"/>
    <mergeCell ref="G146:G147"/>
    <mergeCell ref="I146:I147"/>
    <mergeCell ref="J146:J147"/>
    <mergeCell ref="K146:K147"/>
    <mergeCell ref="BS146:BS147"/>
    <mergeCell ref="BH152:BM152"/>
    <mergeCell ref="BH153:BI153"/>
    <mergeCell ref="BJ153:BM153"/>
    <mergeCell ref="BH154:BI154"/>
    <mergeCell ref="BJ154:BM154"/>
    <mergeCell ref="V146:V147"/>
    <mergeCell ref="W146:W147"/>
    <mergeCell ref="Y146:Y147"/>
    <mergeCell ref="Z146:Z147"/>
    <mergeCell ref="AB146:AB147"/>
    <mergeCell ref="AH146:AH147"/>
    <mergeCell ref="BH157:BI157"/>
    <mergeCell ref="BJ157:BM157"/>
    <mergeCell ref="A154:B154"/>
    <mergeCell ref="A155:B155"/>
    <mergeCell ref="A156:B156"/>
    <mergeCell ref="A158:B158"/>
    <mergeCell ref="A157:B157"/>
    <mergeCell ref="BH155:BI155"/>
    <mergeCell ref="BJ155:BM155"/>
    <mergeCell ref="BH156:BI156"/>
    <mergeCell ref="BJ156:BM156"/>
    <mergeCell ref="A165:B165"/>
    <mergeCell ref="A166:B166"/>
    <mergeCell ref="A167:B167"/>
    <mergeCell ref="A159:B159"/>
    <mergeCell ref="A160:B160"/>
    <mergeCell ref="A161:B161"/>
    <mergeCell ref="A162:B162"/>
    <mergeCell ref="A163:B163"/>
    <mergeCell ref="A164:B164"/>
  </mergeCells>
  <conditionalFormatting sqref="BH8:BO9 BH12:BO150 BH10:BH11 BJ10:BJ11 BL10:BL11 BN10:BN11">
    <cfRule type="cellIs" dxfId="29" priority="1" operator="equal">
      <formula>#REF!</formula>
    </cfRule>
    <cfRule type="cellIs" dxfId="28" priority="2" operator="greaterThan">
      <formula>1</formula>
    </cfRule>
    <cfRule type="cellIs" dxfId="27" priority="3" operator="equal">
      <formula>100%</formula>
    </cfRule>
    <cfRule type="cellIs" dxfId="26" priority="4" operator="between">
      <formula>80%</formula>
      <formula>99%</formula>
    </cfRule>
    <cfRule type="cellIs" dxfId="25" priority="5" operator="between">
      <formula>0%</formula>
      <formula>79%</formula>
    </cfRule>
  </conditionalFormatting>
  <dataValidations count="3">
    <dataValidation type="list" allowBlank="1" showInputMessage="1" showErrorMessage="1" sqref="R104 R111 R136:R137 R147:R150">
      <formula1>$S$3:$S$70</formula1>
    </dataValidation>
    <dataValidation type="list" allowBlank="1" showInputMessage="1" showErrorMessage="1" sqref="R121:R123 R133:R134">
      <formula1>$S$3:$S$69</formula1>
    </dataValidation>
    <dataValidation type="list" allowBlank="1" showInputMessage="1" showErrorMessage="1" sqref="R46:R63 R100:R103 R113:R120 R138:R141 R88:R91 R94:R97 R8 R12:R44">
      <formula1>$S$3:$S$57</formula1>
    </dataValidation>
  </dataValidations>
  <pageMargins left="0.7" right="0.7" top="0.75" bottom="0.75" header="0.3" footer="0.3"/>
  <pageSetup paperSize="41" scale="64"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F71A8AE0-20F7-404B-82A7-72A3409050E0}">
            <xm:f>NOT(ISERROR(SEARCH(#REF!,BH8)))</xm:f>
            <xm:f>#REF!</xm:f>
            <x14:dxf>
              <font>
                <color theme="4"/>
              </font>
              <fill>
                <patternFill>
                  <bgColor theme="5" tint="0.59996337778862885"/>
                </patternFill>
              </fill>
            </x14:dxf>
          </x14:cfRule>
          <xm:sqref>BH8:BO9 BH12:BO150 BH10:BH11 BJ10:BJ11 BL10:BL11 BN10:BN11</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x14:formula1>
            <xm:f>'D:\Users\Alicia.benitez\Documents\PLAN DE ACCION\[Contratacion.xlsx]TAB. REF. PA'!#REF!</xm:f>
          </x14:formula1>
          <xm:sqref>R98:R99</xm:sqref>
        </x14:dataValidation>
        <x14:dataValidation type="list" allowBlank="1" showInputMessage="1" showErrorMessage="1">
          <x14:formula1>
            <xm:f>'D:\Users\magdiela.delacarrera\Documents\PLAN DE ACCIÓN GRUPO COBRO COACTIVO\[Copia de Plan Accion ADRES Vigencia 2018 Cobro Coactivo 15-01-18 remitido x Ricardo.xlsx]TAB. REF. PA'!#REF!</xm:f>
          </x14:formula1>
          <xm:sqref>R135:R137 D137 A137 S144:S150 S136:S137 M137:Q137 D144:D150 M144:R144 W144 A144:A150 M148:Q150 M146:R146 W146</xm:sqref>
        </x14:dataValidation>
        <x14:dataValidation type="list" allowBlank="1" showInputMessage="1" showErrorMessage="1">
          <x14:formula1>
            <xm:f>'C:\Users\norela.briceno\AppData\Local\Microsoft\Windows\INetCache\Content.Outlook\FBI6K8AZ\[Plan Accion ADRES Vigencia 2018 ADRES 26-01-18 JCB.xlsx]TAB. REF. PA'!#REF!</xm:f>
          </x14:formula1>
          <xm:sqref>R107:S107</xm:sqref>
        </x14:dataValidation>
        <x14:dataValidation type="list" allowBlank="1" showInputMessage="1" showErrorMessage="1">
          <x14:formula1>
            <xm:f>'C:\Users\norela.briceno\Documents\Plan de acción\[Plan Accion ADRES - DAF y OAJ.xlsx]TAB. REF. PA'!#REF!</xm:f>
          </x14:formula1>
          <xm:sqref>R106 D92:D93 A121:A137 S121:S137 W134:W136 M92:S93 R124:R132 A92:A93 W121:W123 D121:D137 M121:Q135 M137:Q137</xm:sqref>
        </x14:dataValidation>
        <x14:dataValidation type="list" allowBlank="1" showInputMessage="1" showErrorMessage="1">
          <x14:formula1>
            <xm:f>'C:\Users\norela.briceno\AppData\Local\Microsoft\Windows\INetCache\Content.Outlook\FBI6K8AZ\[PLAN DE ACCION TALENTO HUMANO OK.xlsx]TAB. REF. PA'!#REF!</xm:f>
          </x14:formula1>
          <xm:sqref>S104 S142:S143 R105</xm:sqref>
        </x14:dataValidation>
        <x14:dataValidation type="list" allowBlank="1" showInputMessage="1" showErrorMessage="1">
          <x14:formula1>
            <xm:f>'D:\Users\Alicia.benitez\Documents\PLAN DE ACCION\[Apoyo Logistico.xlsx]TAB. REF. PA'!#REF!</xm:f>
          </x14:formula1>
          <xm:sqref>R142:R143</xm:sqref>
        </x14:dataValidation>
        <x14:dataValidation type="list" allowBlank="1" showInputMessage="1" showErrorMessage="1">
          <x14:formula1>
            <xm:f>'D:\Users\Alicia.benitez\Documents\PLAN DE ACCION\[Atencion al Ciudadano.XLSX]TAB. REF. PA'!#REF!</xm:f>
          </x14:formula1>
          <xm:sqref>S110</xm:sqref>
        </x14:dataValidation>
        <x14:dataValidation type="list" allowBlank="1" showInputMessage="1" showErrorMessage="1">
          <x14:formula1>
            <xm:f>'C:\Users\norela.briceno\Documents\Plan de acción\Plan Accion 2018\[Plan Accion ADRES Vigencia 2018 26-01-18 Atención al Ciudadano.xlsx]TAB. REF. PA'!#REF!</xm:f>
          </x14:formula1>
          <xm:sqref>D110:D111 S111 A110:A111 R110</xm:sqref>
        </x14:dataValidation>
        <x14:dataValidation type="list" allowBlank="1" showInputMessage="1" showErrorMessage="1">
          <x14:formula1>
            <xm:f>'C:\Users\norela.briceno\Documents\Plan de acción\Plan Accion 2018\[Plan Accion ADRES - DAF Gestión Documental.xlsx]TAB. REF. PA'!#REF!</xm:f>
          </x14:formula1>
          <xm:sqref>M109:S109 M112:S112 A109 A112 A142:A143 D109 D112 D142:D143</xm:sqref>
        </x14:dataValidation>
        <x14:dataValidation type="list" allowBlank="1" showInputMessage="1" showErrorMessage="1">
          <x14:formula1>
            <xm:f>'C:\Users\norela.briceno\Documents\Plan de acción\[Plan Accion ADRES Vigencia 2018 Preliminar DTIC ADRES 25-01-18.xlsx]TAB. REF. PA'!#REF!</xm:f>
          </x14:formula1>
          <xm:sqref>D75:D87 M75:S87 W78 W75:W76 A75:A87</xm:sqref>
        </x14:dataValidation>
        <x14:dataValidation type="list" allowBlank="1" showInputMessage="1" showErrorMessage="1">
          <x14:formula1>
            <xm:f>'TAB. REF. PA'!$A$3:$A$14</xm:f>
          </x14:formula1>
          <xm:sqref>A94:A108 A113:A120 A138:A141 A88:A91 A8:A74</xm:sqref>
        </x14:dataValidation>
        <x14:dataValidation type="list" allowBlank="1" showInputMessage="1" showErrorMessage="1">
          <x14:formula1>
            <xm:f>'TAB. REF. PA'!$U$3:$U$24</xm:f>
          </x14:formula1>
          <xm:sqref>S94:S103 S108 S105:S106 S113:S120 S138:S141 S88:S91 S8:S74</xm:sqref>
        </x14:dataValidation>
        <x14:dataValidation type="list" allowBlank="1" showInputMessage="1" showErrorMessage="1">
          <x14:formula1>
            <xm:f>'TAB. REF. PA'!$N$3:$N$25</xm:f>
          </x14:formula1>
          <xm:sqref>Q94:Q108 Q110:Q111 Q113:Q120 Q138:Q143 Q88:Q91 Q8:Q9 Q12:Q74</xm:sqref>
        </x14:dataValidation>
        <x14:dataValidation type="list" allowBlank="1" showInputMessage="1" showErrorMessage="1">
          <x14:formula1>
            <xm:f>'TAB. REF. PA'!$L$3:$L$11</xm:f>
          </x14:formula1>
          <xm:sqref>P94:P108 P110:P111 P113:P120 P138:P143 P88:P91 P8:P9 P12:P74</xm:sqref>
        </x14:dataValidation>
        <x14:dataValidation type="list" allowBlank="1" showInputMessage="1" showErrorMessage="1">
          <x14:formula1>
            <xm:f>'TAB. REF. PA'!$J$3:$J$6</xm:f>
          </x14:formula1>
          <xm:sqref>O94:O108 O110:O111 O113:O120 O138:O143 O88:O91 O8:O9 O12:O74</xm:sqref>
        </x14:dataValidation>
        <x14:dataValidation type="list" allowBlank="1" showInputMessage="1" showErrorMessage="1">
          <x14:formula1>
            <xm:f>'TAB. REF. PA'!$H$3:$H$21</xm:f>
          </x14:formula1>
          <xm:sqref>N94:N108 N110:N111 N113:N120 N138:N143 N88:N91 N8:N9 N12:N74</xm:sqref>
        </x14:dataValidation>
        <x14:dataValidation type="list" allowBlank="1" showInputMessage="1" showErrorMessage="1">
          <x14:formula1>
            <xm:f>'TAB. REF. PA'!$F$3:$F$10</xm:f>
          </x14:formula1>
          <xm:sqref>M94:M108 M110:M111 M113:M120 M138:M143 M88:M91 M8:M9 M12:M74</xm:sqref>
        </x14:dataValidation>
        <x14:dataValidation type="list" allowBlank="1" showInputMessage="1" showErrorMessage="1">
          <x14:formula1>
            <xm:f>'TAB. REF. PA'!$W$3:$W$7</xm:f>
          </x14:formula1>
          <xm:sqref>W79:W120 W77 W137:W143 W124:W133 W148:W150 W8:W9 W12:W74</xm:sqref>
        </x14:dataValidation>
        <x14:dataValidation type="list" allowBlank="1" showInputMessage="1" showErrorMessage="1">
          <x14:formula1>
            <xm:f>'C:\Users\Ricardo.triana\AppData\Local\Microsoft\Windows\INetCache\Content.Outlook\NSJG1V0A\[Plan Accion ADRES DOP 24-01-2018.xlsx]TAB. REF. PA'!#REF!</xm:f>
          </x14:formula1>
          <xm:sqref>D64:D74</xm:sqref>
        </x14:dataValidation>
        <x14:dataValidation type="list" allowBlank="1" showInputMessage="1" showErrorMessage="1">
          <x14:formula1>
            <xm:f>'D:\Users\ricardo.triana\Documents\ADRES\Plan de Accion\Plan Accion 2018\[Plan Accion ADRES Vigencia 2018 DLG 17-01-18.xlsx]TAB. REF. PA'!#REF!</xm:f>
          </x14:formula1>
          <xm:sqref>D45:D63</xm:sqref>
        </x14:dataValidation>
        <x14:dataValidation type="list" allowBlank="1" showInputMessage="1" showErrorMessage="1">
          <x14:formula1>
            <xm:f>'D:\Users\ricardo.triana\Documents\ADRES\Plan de Accion\Plan Accion 2018\[Plan Accion ADRES Vigencia 2018 DGRFS 17-01-18.xlsx]TAB. REF. PA'!#REF!</xm:f>
          </x14:formula1>
          <xm:sqref>D12:D44</xm:sqref>
        </x14:dataValidation>
        <x14:dataValidation type="list" allowBlank="1" showInputMessage="1" showErrorMessage="1">
          <x14:formula1>
            <xm:f>'TAB. REF. PA'!$D$3:$D$9</xm:f>
          </x14:formula1>
          <xm:sqref>D94:D108 D113:D120 D138:D141 D88:D91 D8:D11</xm:sqref>
        </x14:dataValidation>
        <x14:dataValidation type="list" allowBlank="1" showInputMessage="1" showErrorMessage="1">
          <x14:formula1>
            <xm:f>'TAB. REF. PA'!$S$3:$S$80</xm:f>
          </x14:formula1>
          <xm:sqref>R9:R11</xm:sqref>
        </x14:dataValidation>
        <x14:dataValidation type="list" allowBlank="1" showInputMessage="1" showErrorMessage="1">
          <x14:formula1>
            <xm:f>'TAB. REF. PA'!$S$3:$S$76</xm:f>
          </x14:formula1>
          <xm:sqref>R145</xm:sqref>
        </x14:dataValidation>
        <x14:dataValidation type="list" allowBlank="1" showInputMessage="1" showErrorMessage="1">
          <x14:formula1>
            <xm:f>'TAB. REF. PA'!$S$3:$S$77</xm:f>
          </x14:formula1>
          <xm:sqref>R45</xm:sqref>
        </x14:dataValidation>
        <x14:dataValidation type="list" allowBlank="1" showInputMessage="1" showErrorMessage="1">
          <x14:formula1>
            <xm:f>'TAB. REF. PA'!$S$3:$S$78</xm:f>
          </x14:formula1>
          <xm:sqref>R64:R74</xm:sqref>
        </x14:dataValidation>
        <x14:dataValidation type="list" allowBlank="1" showInputMessage="1" showErrorMessage="1">
          <x14:formula1>
            <xm:f>'TAB. REF. PA'!$S$3:$S$62</xm:f>
          </x14:formula1>
          <xm:sqref>R108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topLeftCell="B4" workbookViewId="0">
      <selection activeCell="G13" sqref="G13:H14"/>
    </sheetView>
  </sheetViews>
  <sheetFormatPr baseColWidth="10" defaultRowHeight="15" x14ac:dyDescent="0.25"/>
  <cols>
    <col min="1" max="1" width="48.140625" customWidth="1"/>
    <col min="2" max="2" width="16.28515625" style="20" customWidth="1"/>
    <col min="4" max="4" width="34.28515625" bestFit="1" customWidth="1"/>
    <col min="5" max="5" width="15.140625" style="20" bestFit="1" customWidth="1"/>
    <col min="6" max="6" width="33.85546875" customWidth="1"/>
    <col min="7" max="7" width="15.140625" style="20" bestFit="1" customWidth="1"/>
    <col min="8" max="8" width="14.140625" bestFit="1" customWidth="1"/>
  </cols>
  <sheetData>
    <row r="2" spans="1:8" x14ac:dyDescent="0.25">
      <c r="D2" s="997"/>
      <c r="E2" s="998"/>
      <c r="F2" s="999" t="s">
        <v>734</v>
      </c>
      <c r="G2" s="1000"/>
      <c r="H2" s="1001"/>
    </row>
    <row r="3" spans="1:8" ht="15.75" thickBot="1" x14ac:dyDescent="0.3">
      <c r="A3" t="s">
        <v>722</v>
      </c>
      <c r="B3" s="20" t="s">
        <v>735</v>
      </c>
      <c r="D3" t="s">
        <v>3</v>
      </c>
      <c r="E3" s="20">
        <f>+GETPIVOTDATA("Valor total estimado ",$A$3,"Dependencia ADRES","Dirección General")</f>
        <v>500000000</v>
      </c>
      <c r="F3" s="131" t="s">
        <v>3</v>
      </c>
      <c r="G3" s="132">
        <v>500000000</v>
      </c>
      <c r="H3" s="133">
        <f>+E3-G3</f>
        <v>0</v>
      </c>
    </row>
    <row r="4" spans="1:8" x14ac:dyDescent="0.25">
      <c r="A4" s="128" t="s">
        <v>29</v>
      </c>
      <c r="B4" s="20">
        <v>3793739894.5</v>
      </c>
      <c r="D4" s="128" t="s">
        <v>29</v>
      </c>
      <c r="E4" s="20">
        <f>+GETPIVOTDATA("Valor total estimado ",$A$3,"Dependencia ADRES","Dirección Administrativa y Financiera")+GETPIVOTDATA("Valor total estimado ",$A$3,"Dependencia ADRES","Dirección Administrativa y Financiera - Grupo de Contratación")+GETPIVOTDATA("Valor total estimado ",$A$3,"Dependencia ADRES","Dirección Administrativa y Financiera - Grupo de Talento Humano")</f>
        <v>5154732198.5</v>
      </c>
      <c r="F4" s="131" t="s">
        <v>29</v>
      </c>
      <c r="G4" s="132">
        <v>5129672798.5</v>
      </c>
      <c r="H4" s="134">
        <f t="shared" ref="H4:H11" si="0">+E4-G4</f>
        <v>25059400</v>
      </c>
    </row>
    <row r="5" spans="1:8" x14ac:dyDescent="0.25">
      <c r="A5" s="128" t="s">
        <v>470</v>
      </c>
      <c r="B5" s="20">
        <v>321766980</v>
      </c>
      <c r="D5" s="128" t="s">
        <v>4</v>
      </c>
      <c r="E5" s="20">
        <f>+GETPIVOTDATA("Valor total estimado ",$A$3,"Dependencia ADRES","Dirección de Gestión de Recursos Financieros de Salud")</f>
        <v>1490946380</v>
      </c>
      <c r="F5" s="131" t="s">
        <v>4</v>
      </c>
      <c r="G5" s="132">
        <v>1184794516</v>
      </c>
      <c r="H5" s="135">
        <f t="shared" si="0"/>
        <v>306151864</v>
      </c>
    </row>
    <row r="6" spans="1:8" x14ac:dyDescent="0.25">
      <c r="A6" s="128" t="s">
        <v>546</v>
      </c>
      <c r="B6" s="20">
        <v>1039225324</v>
      </c>
      <c r="D6" s="128" t="s">
        <v>6</v>
      </c>
      <c r="E6" s="20">
        <f>+GETPIVOTDATA("Valor total estimado ",$A$3,"Dependencia ADRES","Dirección de Gestión de Tecnología de la Información y la Comunicación")</f>
        <v>6222584634</v>
      </c>
      <c r="F6" s="131" t="s">
        <v>6</v>
      </c>
      <c r="G6" s="132">
        <v>5965245278</v>
      </c>
      <c r="H6" s="135">
        <f t="shared" si="0"/>
        <v>257339356</v>
      </c>
    </row>
    <row r="7" spans="1:8" x14ac:dyDescent="0.25">
      <c r="A7" s="128" t="s">
        <v>4</v>
      </c>
      <c r="B7" s="20">
        <v>1490946380</v>
      </c>
      <c r="D7" s="128" t="s">
        <v>26</v>
      </c>
      <c r="E7" s="20">
        <f>+GETPIVOTDATA("Valor total estimado ",$A$3,"Dependencia ADRES","Dirección de Liquidaciones y Garantías - Subdirección de Garantías")+GETPIVOTDATA("Valor total estimado ",$A$3,"Dependencia ADRES","Dirección de Liquidaciones y Garantías - Subdirección de Liquidaciones del Aseguramiento")</f>
        <v>368855224</v>
      </c>
      <c r="F7" s="131" t="s">
        <v>26</v>
      </c>
      <c r="G7" s="132">
        <v>274573156</v>
      </c>
      <c r="H7" s="135">
        <f t="shared" si="0"/>
        <v>94282068</v>
      </c>
    </row>
    <row r="8" spans="1:8" x14ac:dyDescent="0.25">
      <c r="A8" s="128" t="s">
        <v>6</v>
      </c>
      <c r="B8" s="20">
        <v>6222584634</v>
      </c>
      <c r="D8" t="s">
        <v>465</v>
      </c>
      <c r="E8" s="20">
        <f>+GETPIVOTDATA("Valor total estimado ",$A$3,"Dependencia ADRES","Dirección Otras Prestaciones")</f>
        <v>31126827540</v>
      </c>
      <c r="F8" s="131" t="s">
        <v>465</v>
      </c>
      <c r="G8" s="132">
        <v>31045227540</v>
      </c>
      <c r="H8" s="135">
        <f>+E8-G8</f>
        <v>81600000</v>
      </c>
    </row>
    <row r="9" spans="1:8" x14ac:dyDescent="0.25">
      <c r="A9" s="128" t="s">
        <v>456</v>
      </c>
      <c r="B9" s="20">
        <v>86009020</v>
      </c>
      <c r="D9" t="s">
        <v>454</v>
      </c>
      <c r="E9" s="20">
        <f>+GETPIVOTDATA("Valor total estimado ",$A$3,"Dependencia ADRES","Oficina Asesora de Planeación y Control de Riesgo")</f>
        <v>41094712</v>
      </c>
      <c r="F9" s="131" t="s">
        <v>454</v>
      </c>
      <c r="G9" s="132">
        <v>41094712</v>
      </c>
      <c r="H9" s="135">
        <f t="shared" si="0"/>
        <v>0</v>
      </c>
    </row>
    <row r="10" spans="1:8" ht="15.75" thickBot="1" x14ac:dyDescent="0.3">
      <c r="A10" s="128" t="s">
        <v>455</v>
      </c>
      <c r="B10" s="20">
        <v>282846204</v>
      </c>
      <c r="D10" s="128" t="s">
        <v>349</v>
      </c>
      <c r="E10" s="20">
        <f>+GETPIVOTDATA("Valor total estimado ",$A$3,"Dependencia ADRES","Oficina Asesora Jurídica")+GETPIVOTDATA("Valor total estimado ",$A$3,"Dependencia ADRES","Oficina Asesora Jurídica - Grupo de Acciones Constitucionales y Tutelas")+GETPIVOTDATA("Valor total estimado ",$A$3,"Dependencia ADRES","Oficina Asesora Jurídica - Grupo de Cobro Coactivo")+GETPIVOTDATA("Valor total estimado ",$A$3,"Dependencia ADRES","Oficina Asesora Jurídica - Grupo de Representación Judicial")</f>
        <v>2202188951</v>
      </c>
      <c r="F10" s="131" t="s">
        <v>349</v>
      </c>
      <c r="G10" s="132">
        <v>1203517459</v>
      </c>
      <c r="H10" s="136">
        <f t="shared" si="0"/>
        <v>998671492</v>
      </c>
    </row>
    <row r="11" spans="1:8" x14ac:dyDescent="0.25">
      <c r="A11" s="128" t="s">
        <v>3</v>
      </c>
      <c r="B11" s="20">
        <v>500000000</v>
      </c>
      <c r="D11" s="128" t="s">
        <v>736</v>
      </c>
      <c r="E11" s="20">
        <v>200000000</v>
      </c>
      <c r="F11" s="137" t="s">
        <v>736</v>
      </c>
      <c r="G11" s="138">
        <v>200000000</v>
      </c>
      <c r="H11" s="139">
        <f t="shared" si="0"/>
        <v>0</v>
      </c>
    </row>
    <row r="12" spans="1:8" x14ac:dyDescent="0.25">
      <c r="A12" s="128" t="s">
        <v>465</v>
      </c>
      <c r="B12" s="20">
        <v>31126827540</v>
      </c>
    </row>
    <row r="13" spans="1:8" x14ac:dyDescent="0.25">
      <c r="A13" s="128" t="s">
        <v>454</v>
      </c>
      <c r="B13" s="20">
        <v>41094712</v>
      </c>
      <c r="E13" s="20">
        <f>+SUM(E3:E11)</f>
        <v>47307229639.5</v>
      </c>
      <c r="G13" s="20">
        <f>SUM(G3:G11)</f>
        <v>45544125459.5</v>
      </c>
      <c r="H13" s="48">
        <f>E13-G13</f>
        <v>1763104180</v>
      </c>
    </row>
    <row r="14" spans="1:8" x14ac:dyDescent="0.25">
      <c r="A14" s="128" t="s">
        <v>349</v>
      </c>
      <c r="B14" s="20">
        <v>542477052</v>
      </c>
    </row>
    <row r="15" spans="1:8" x14ac:dyDescent="0.25">
      <c r="A15" s="128" t="s">
        <v>466</v>
      </c>
      <c r="B15" s="20">
        <v>307607868</v>
      </c>
    </row>
    <row r="16" spans="1:8" x14ac:dyDescent="0.25">
      <c r="A16" s="128" t="s">
        <v>469</v>
      </c>
      <c r="B16" s="20">
        <v>55760808</v>
      </c>
    </row>
    <row r="17" spans="1:2" x14ac:dyDescent="0.25">
      <c r="A17" s="128" t="s">
        <v>467</v>
      </c>
      <c r="B17" s="20">
        <v>1296343223</v>
      </c>
    </row>
    <row r="18" spans="1:2" x14ac:dyDescent="0.25">
      <c r="A18" s="128" t="s">
        <v>737</v>
      </c>
      <c r="B18" s="20">
        <v>47532004351.5</v>
      </c>
    </row>
    <row r="19" spans="1:2" x14ac:dyDescent="0.25">
      <c r="A19" s="128" t="s">
        <v>723</v>
      </c>
      <c r="B19" s="20">
        <v>94639233991</v>
      </c>
    </row>
    <row r="21" spans="1:2" x14ac:dyDescent="0.25">
      <c r="B21" s="20">
        <f>+GETPIVOTDATA("Valor total estimado ",$A$3,"Dependencia ADRES",)-E13</f>
        <v>224774712</v>
      </c>
    </row>
  </sheetData>
  <mergeCells count="2">
    <mergeCell ref="D2:E2"/>
    <mergeCell ref="F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83"/>
  <sheetViews>
    <sheetView topLeftCell="P58" workbookViewId="0">
      <selection activeCell="S47" sqref="S47"/>
    </sheetView>
  </sheetViews>
  <sheetFormatPr baseColWidth="10" defaultRowHeight="15" x14ac:dyDescent="0.25"/>
  <cols>
    <col min="1" max="1" width="16.5703125" bestFit="1" customWidth="1"/>
    <col min="2" max="2" width="65.42578125" bestFit="1" customWidth="1"/>
    <col min="3" max="3" width="5.140625" customWidth="1"/>
    <col min="4" max="4" width="43.42578125" customWidth="1"/>
    <col min="5" max="5" width="5.140625" customWidth="1"/>
    <col min="6" max="6" width="30.28515625" customWidth="1"/>
    <col min="7" max="7" width="4.5703125" customWidth="1"/>
    <col min="8" max="8" width="34.5703125" customWidth="1"/>
    <col min="9" max="9" width="4.85546875" customWidth="1"/>
    <col min="10" max="10" width="38.42578125" customWidth="1"/>
    <col min="11" max="11" width="5.5703125" customWidth="1"/>
    <col min="12" max="12" width="38.42578125" customWidth="1"/>
    <col min="13" max="13" width="5" customWidth="1"/>
    <col min="14" max="14" width="37.140625" customWidth="1"/>
    <col min="15" max="15" width="4.28515625" customWidth="1"/>
    <col min="16" max="16" width="15.7109375" customWidth="1"/>
    <col min="17" max="17" width="5.28515625" customWidth="1"/>
    <col min="18" max="18" width="15.5703125" customWidth="1"/>
    <col min="19" max="19" width="56" bestFit="1" customWidth="1"/>
    <col min="20" max="20" width="4.5703125" customWidth="1"/>
    <col min="21" max="21" width="57.28515625" customWidth="1"/>
    <col min="22" max="22" width="4.5703125" customWidth="1"/>
    <col min="23" max="23" width="19.85546875" customWidth="1"/>
  </cols>
  <sheetData>
    <row r="1" spans="1:23" x14ac:dyDescent="0.25">
      <c r="A1" s="1011" t="s">
        <v>42</v>
      </c>
      <c r="B1" s="1011"/>
      <c r="F1" t="s">
        <v>43</v>
      </c>
      <c r="H1" t="s">
        <v>44</v>
      </c>
      <c r="J1" s="11" t="s">
        <v>65</v>
      </c>
      <c r="L1" s="11" t="s">
        <v>66</v>
      </c>
      <c r="N1" t="s">
        <v>76</v>
      </c>
      <c r="P1" t="s">
        <v>78</v>
      </c>
      <c r="S1" t="s">
        <v>84</v>
      </c>
      <c r="U1" t="s">
        <v>89</v>
      </c>
    </row>
    <row r="2" spans="1:23" s="9" customFormat="1" x14ac:dyDescent="0.25">
      <c r="A2" s="8" t="s">
        <v>25</v>
      </c>
      <c r="B2" s="8" t="s">
        <v>31</v>
      </c>
      <c r="D2" s="8" t="s">
        <v>141</v>
      </c>
      <c r="F2" s="10" t="s">
        <v>53</v>
      </c>
      <c r="H2" s="10" t="s">
        <v>52</v>
      </c>
      <c r="J2" s="10" t="s">
        <v>32</v>
      </c>
      <c r="L2" s="10" t="s">
        <v>33</v>
      </c>
      <c r="N2" s="10" t="s">
        <v>67</v>
      </c>
      <c r="P2" s="10" t="s">
        <v>77</v>
      </c>
      <c r="Q2" s="22"/>
      <c r="S2" s="10" t="s">
        <v>79</v>
      </c>
      <c r="U2" s="10" t="s">
        <v>1</v>
      </c>
      <c r="W2" s="10" t="s">
        <v>113</v>
      </c>
    </row>
    <row r="3" spans="1:23" x14ac:dyDescent="0.25">
      <c r="A3" s="1"/>
      <c r="B3" s="1"/>
      <c r="D3" s="1"/>
      <c r="F3" s="1"/>
      <c r="H3" s="1"/>
      <c r="J3" s="1"/>
      <c r="L3" s="1"/>
      <c r="N3" s="1"/>
      <c r="P3" s="1"/>
      <c r="Q3" s="23"/>
      <c r="S3" s="3" t="s">
        <v>570</v>
      </c>
      <c r="U3" s="1"/>
      <c r="W3" s="1" t="s">
        <v>122</v>
      </c>
    </row>
    <row r="4" spans="1:23" ht="60" x14ac:dyDescent="0.25">
      <c r="A4" s="2">
        <v>11200</v>
      </c>
      <c r="B4" s="2" t="s">
        <v>3</v>
      </c>
      <c r="D4" s="3" t="s">
        <v>144</v>
      </c>
      <c r="F4" s="3" t="s">
        <v>45</v>
      </c>
      <c r="H4" s="3" t="s">
        <v>54</v>
      </c>
      <c r="J4" s="3" t="s">
        <v>34</v>
      </c>
      <c r="L4" s="3" t="s">
        <v>35</v>
      </c>
      <c r="N4" s="3" t="s">
        <v>75</v>
      </c>
      <c r="P4" s="1"/>
      <c r="Q4" s="23"/>
      <c r="S4" s="3" t="s">
        <v>137</v>
      </c>
      <c r="U4" s="3" t="s">
        <v>92</v>
      </c>
      <c r="W4" s="1" t="s">
        <v>117</v>
      </c>
    </row>
    <row r="5" spans="1:23" ht="60.75" thickBot="1" x14ac:dyDescent="0.3">
      <c r="A5" s="2">
        <v>11300</v>
      </c>
      <c r="B5" s="2" t="s">
        <v>4</v>
      </c>
      <c r="D5" s="3" t="s">
        <v>145</v>
      </c>
      <c r="F5" s="3" t="s">
        <v>51</v>
      </c>
      <c r="H5" s="3" t="s">
        <v>55</v>
      </c>
      <c r="J5" s="3" t="s">
        <v>21</v>
      </c>
      <c r="K5" s="9"/>
      <c r="L5" s="3" t="s">
        <v>36</v>
      </c>
      <c r="N5" s="3" t="s">
        <v>210</v>
      </c>
      <c r="P5" s="1"/>
      <c r="Q5" s="23"/>
      <c r="S5" s="24" t="s">
        <v>182</v>
      </c>
      <c r="U5" s="3" t="s">
        <v>93</v>
      </c>
      <c r="W5" s="1" t="s">
        <v>114</v>
      </c>
    </row>
    <row r="6" spans="1:23" ht="30" x14ac:dyDescent="0.25">
      <c r="A6" s="2">
        <v>11400</v>
      </c>
      <c r="B6" s="2" t="s">
        <v>26</v>
      </c>
      <c r="D6" s="3" t="s">
        <v>146</v>
      </c>
      <c r="F6" s="3" t="s">
        <v>46</v>
      </c>
      <c r="H6" s="3" t="s">
        <v>56</v>
      </c>
      <c r="J6" s="3" t="s">
        <v>37</v>
      </c>
      <c r="L6" s="3" t="s">
        <v>22</v>
      </c>
      <c r="N6" s="3" t="s">
        <v>211</v>
      </c>
      <c r="P6" s="1"/>
      <c r="Q6" s="23"/>
      <c r="R6" s="1012" t="s">
        <v>511</v>
      </c>
      <c r="S6" s="28" t="s">
        <v>921</v>
      </c>
      <c r="U6" s="3" t="s">
        <v>94</v>
      </c>
      <c r="W6" s="1" t="s">
        <v>115</v>
      </c>
    </row>
    <row r="7" spans="1:23" ht="45" x14ac:dyDescent="0.25">
      <c r="A7" s="2">
        <v>11420</v>
      </c>
      <c r="B7" s="2" t="s">
        <v>27</v>
      </c>
      <c r="D7" s="3" t="s">
        <v>147</v>
      </c>
      <c r="F7" s="3" t="s">
        <v>47</v>
      </c>
      <c r="H7" s="3" t="s">
        <v>57</v>
      </c>
      <c r="L7" s="3" t="s">
        <v>23</v>
      </c>
      <c r="N7" s="3" t="s">
        <v>212</v>
      </c>
      <c r="P7" s="1"/>
      <c r="Q7" s="23"/>
      <c r="R7" s="1013"/>
      <c r="S7" s="29" t="s">
        <v>922</v>
      </c>
      <c r="U7" s="3" t="s">
        <v>95</v>
      </c>
      <c r="W7" s="1" t="s">
        <v>116</v>
      </c>
    </row>
    <row r="8" spans="1:23" ht="90" x14ac:dyDescent="0.25">
      <c r="A8" s="2">
        <v>11430</v>
      </c>
      <c r="B8" s="2" t="s">
        <v>2</v>
      </c>
      <c r="D8" s="19" t="s">
        <v>256</v>
      </c>
      <c r="F8" s="6" t="s">
        <v>48</v>
      </c>
      <c r="H8" s="7" t="s">
        <v>68</v>
      </c>
      <c r="K8" s="9"/>
      <c r="L8" s="1" t="s">
        <v>39</v>
      </c>
      <c r="N8" s="3" t="s">
        <v>213</v>
      </c>
      <c r="P8" s="1"/>
      <c r="Q8" s="23"/>
      <c r="R8" s="1013"/>
      <c r="S8" s="29" t="s">
        <v>923</v>
      </c>
      <c r="U8" s="3" t="s">
        <v>96</v>
      </c>
    </row>
    <row r="9" spans="1:23" ht="45" x14ac:dyDescent="0.25">
      <c r="A9" s="2">
        <v>11500</v>
      </c>
      <c r="B9" s="2" t="s">
        <v>28</v>
      </c>
      <c r="D9" s="19" t="s">
        <v>153</v>
      </c>
      <c r="F9" s="6" t="s">
        <v>49</v>
      </c>
      <c r="H9" s="7" t="s">
        <v>69</v>
      </c>
      <c r="L9" s="6" t="s">
        <v>38</v>
      </c>
      <c r="N9" s="3" t="s">
        <v>214</v>
      </c>
      <c r="P9" s="1"/>
      <c r="Q9" s="23"/>
      <c r="R9" s="1013"/>
      <c r="S9" s="29" t="s">
        <v>235</v>
      </c>
      <c r="U9" s="3" t="s">
        <v>97</v>
      </c>
    </row>
    <row r="10" spans="1:23" ht="30" x14ac:dyDescent="0.25">
      <c r="A10" s="2">
        <v>11600</v>
      </c>
      <c r="B10" s="2" t="s">
        <v>6</v>
      </c>
      <c r="F10" s="6" t="s">
        <v>50</v>
      </c>
      <c r="H10" s="6" t="s">
        <v>73</v>
      </c>
      <c r="L10" s="6" t="s">
        <v>40</v>
      </c>
      <c r="N10" s="3" t="s">
        <v>215</v>
      </c>
      <c r="P10" s="1"/>
      <c r="Q10" s="23"/>
      <c r="R10" s="1013"/>
      <c r="S10" s="29" t="s">
        <v>236</v>
      </c>
      <c r="U10" s="3" t="s">
        <v>98</v>
      </c>
    </row>
    <row r="11" spans="1:23" ht="30" x14ac:dyDescent="0.25">
      <c r="A11" s="2">
        <v>11700</v>
      </c>
      <c r="B11" s="2" t="s">
        <v>29</v>
      </c>
      <c r="H11" s="6" t="s">
        <v>58</v>
      </c>
      <c r="K11" s="9"/>
      <c r="L11" s="6" t="s">
        <v>41</v>
      </c>
      <c r="N11" s="3" t="s">
        <v>216</v>
      </c>
      <c r="P11" s="1"/>
      <c r="Q11" s="23"/>
      <c r="R11" s="1013"/>
      <c r="S11" s="29" t="s">
        <v>474</v>
      </c>
      <c r="U11" s="3" t="s">
        <v>99</v>
      </c>
    </row>
    <row r="12" spans="1:23" ht="30" x14ac:dyDescent="0.25">
      <c r="A12" s="2">
        <v>11800</v>
      </c>
      <c r="B12" s="2" t="s">
        <v>5</v>
      </c>
      <c r="H12" s="6" t="s">
        <v>74</v>
      </c>
      <c r="N12" s="3" t="s">
        <v>217</v>
      </c>
      <c r="P12" s="1"/>
      <c r="Q12" s="23"/>
      <c r="R12" s="1013"/>
      <c r="S12" s="29" t="s">
        <v>475</v>
      </c>
      <c r="U12" s="3" t="s">
        <v>100</v>
      </c>
    </row>
    <row r="13" spans="1:23" ht="30" x14ac:dyDescent="0.25">
      <c r="A13" s="2">
        <v>11900</v>
      </c>
      <c r="B13" s="2" t="s">
        <v>349</v>
      </c>
      <c r="H13" s="6" t="s">
        <v>59</v>
      </c>
      <c r="N13" s="3" t="s">
        <v>218</v>
      </c>
      <c r="P13" s="1"/>
      <c r="Q13" s="23"/>
      <c r="R13" s="1013"/>
      <c r="S13" s="29" t="s">
        <v>238</v>
      </c>
      <c r="U13" s="3" t="s">
        <v>101</v>
      </c>
    </row>
    <row r="14" spans="1:23" ht="45" x14ac:dyDescent="0.25">
      <c r="A14" s="2">
        <v>12000</v>
      </c>
      <c r="B14" s="2" t="s">
        <v>30</v>
      </c>
      <c r="H14" s="6" t="s">
        <v>70</v>
      </c>
      <c r="N14" s="3" t="s">
        <v>219</v>
      </c>
      <c r="P14" s="1"/>
      <c r="Q14" s="23"/>
      <c r="R14" s="1013"/>
      <c r="S14" s="29" t="s">
        <v>507</v>
      </c>
      <c r="U14" s="3" t="s">
        <v>102</v>
      </c>
    </row>
    <row r="15" spans="1:23" ht="30" x14ac:dyDescent="0.25">
      <c r="H15" s="6" t="s">
        <v>71</v>
      </c>
      <c r="N15" s="3" t="s">
        <v>220</v>
      </c>
      <c r="P15" s="1"/>
      <c r="Q15" s="23"/>
      <c r="R15" s="1013"/>
      <c r="S15" s="29" t="s">
        <v>238</v>
      </c>
      <c r="U15" s="3" t="s">
        <v>103</v>
      </c>
    </row>
    <row r="16" spans="1:23" ht="30" x14ac:dyDescent="0.25">
      <c r="H16" s="6" t="s">
        <v>72</v>
      </c>
      <c r="N16" s="3" t="s">
        <v>221</v>
      </c>
      <c r="P16" s="1"/>
      <c r="Q16" s="23"/>
      <c r="R16" s="1013"/>
      <c r="S16" s="29" t="s">
        <v>508</v>
      </c>
      <c r="U16" s="3" t="s">
        <v>104</v>
      </c>
    </row>
    <row r="17" spans="8:21" ht="30" x14ac:dyDescent="0.25">
      <c r="H17" s="6" t="s">
        <v>60</v>
      </c>
      <c r="N17" s="3" t="s">
        <v>222</v>
      </c>
      <c r="P17" s="1"/>
      <c r="Q17" s="23"/>
      <c r="R17" s="1013"/>
      <c r="S17" s="29" t="s">
        <v>509</v>
      </c>
      <c r="U17" s="3" t="s">
        <v>105</v>
      </c>
    </row>
    <row r="18" spans="8:21" ht="30.75" thickBot="1" x14ac:dyDescent="0.3">
      <c r="H18" s="6" t="s">
        <v>61</v>
      </c>
      <c r="N18" s="3" t="s">
        <v>223</v>
      </c>
      <c r="P18" s="1"/>
      <c r="Q18" s="23"/>
      <c r="R18" s="1014"/>
      <c r="S18" s="30" t="s">
        <v>510</v>
      </c>
      <c r="U18" s="3" t="s">
        <v>106</v>
      </c>
    </row>
    <row r="19" spans="8:21" ht="45" customHeight="1" x14ac:dyDescent="0.25">
      <c r="H19" s="6" t="s">
        <v>62</v>
      </c>
      <c r="N19" s="3" t="s">
        <v>224</v>
      </c>
      <c r="P19" s="1"/>
      <c r="Q19" s="23"/>
      <c r="R19" s="1005" t="s">
        <v>4</v>
      </c>
      <c r="S19" s="25" t="s">
        <v>594</v>
      </c>
      <c r="U19" s="3" t="s">
        <v>107</v>
      </c>
    </row>
    <row r="20" spans="8:21" ht="30" x14ac:dyDescent="0.25">
      <c r="H20" s="6" t="s">
        <v>63</v>
      </c>
      <c r="N20" s="3" t="s">
        <v>225</v>
      </c>
      <c r="P20" s="1"/>
      <c r="Q20" s="23"/>
      <c r="R20" s="1006"/>
      <c r="S20" s="26" t="s">
        <v>249</v>
      </c>
      <c r="U20" s="3" t="s">
        <v>108</v>
      </c>
    </row>
    <row r="21" spans="8:21" ht="30" x14ac:dyDescent="0.25">
      <c r="H21" s="6" t="s">
        <v>64</v>
      </c>
      <c r="N21" s="3" t="s">
        <v>226</v>
      </c>
      <c r="P21" s="1"/>
      <c r="Q21" s="23"/>
      <c r="R21" s="1006"/>
      <c r="S21" s="29" t="s">
        <v>626</v>
      </c>
      <c r="U21" s="3" t="s">
        <v>109</v>
      </c>
    </row>
    <row r="22" spans="8:21" ht="30" customHeight="1" x14ac:dyDescent="0.25">
      <c r="N22" s="3" t="s">
        <v>227</v>
      </c>
      <c r="P22" s="1"/>
      <c r="Q22" s="23"/>
      <c r="R22" s="1006"/>
      <c r="S22" s="29" t="s">
        <v>595</v>
      </c>
      <c r="U22" s="3" t="s">
        <v>110</v>
      </c>
    </row>
    <row r="23" spans="8:21" x14ac:dyDescent="0.25">
      <c r="N23" s="3" t="s">
        <v>228</v>
      </c>
      <c r="P23" s="1"/>
      <c r="Q23" s="23"/>
      <c r="R23" s="1006"/>
      <c r="S23" s="29" t="s">
        <v>596</v>
      </c>
      <c r="U23" s="3" t="s">
        <v>111</v>
      </c>
    </row>
    <row r="24" spans="8:21" ht="45" customHeight="1" x14ac:dyDescent="0.25">
      <c r="N24" s="3" t="s">
        <v>229</v>
      </c>
      <c r="P24" s="1"/>
      <c r="Q24" s="23"/>
      <c r="R24" s="1006"/>
      <c r="S24" s="33" t="s">
        <v>627</v>
      </c>
      <c r="U24" s="3" t="s">
        <v>112</v>
      </c>
    </row>
    <row r="25" spans="8:21" ht="45" customHeight="1" x14ac:dyDescent="0.25">
      <c r="N25" s="3" t="s">
        <v>230</v>
      </c>
      <c r="R25" s="1006"/>
      <c r="S25" s="27"/>
    </row>
    <row r="26" spans="8:21" x14ac:dyDescent="0.25">
      <c r="R26" s="1015"/>
      <c r="S26" s="33"/>
    </row>
    <row r="27" spans="8:21" ht="45.75" customHeight="1" x14ac:dyDescent="0.25">
      <c r="R27" s="1016" t="s">
        <v>29</v>
      </c>
      <c r="S27" s="7" t="s">
        <v>398</v>
      </c>
    </row>
    <row r="28" spans="8:21" ht="45" customHeight="1" x14ac:dyDescent="0.25">
      <c r="R28" s="1016"/>
      <c r="S28" s="7" t="s">
        <v>402</v>
      </c>
    </row>
    <row r="29" spans="8:21" x14ac:dyDescent="0.25">
      <c r="R29" s="1016"/>
      <c r="S29" s="7" t="s">
        <v>406</v>
      </c>
    </row>
    <row r="30" spans="8:21" x14ac:dyDescent="0.25">
      <c r="R30" s="1016"/>
      <c r="S30" s="7" t="s">
        <v>410</v>
      </c>
    </row>
    <row r="31" spans="8:21" x14ac:dyDescent="0.25">
      <c r="R31" s="1016"/>
      <c r="S31" s="7" t="s">
        <v>664</v>
      </c>
    </row>
    <row r="32" spans="8:21" ht="30" x14ac:dyDescent="0.25">
      <c r="R32" s="1016"/>
      <c r="S32" s="7" t="s">
        <v>411</v>
      </c>
    </row>
    <row r="33" spans="2:19" x14ac:dyDescent="0.25">
      <c r="R33" s="1016"/>
      <c r="S33" s="7" t="s">
        <v>512</v>
      </c>
    </row>
    <row r="34" spans="2:19" x14ac:dyDescent="0.25">
      <c r="R34" s="1016"/>
      <c r="S34" s="7" t="s">
        <v>628</v>
      </c>
    </row>
    <row r="35" spans="2:19" ht="30" customHeight="1" x14ac:dyDescent="0.25">
      <c r="R35" s="1016"/>
      <c r="S35" s="19" t="s">
        <v>657</v>
      </c>
    </row>
    <row r="36" spans="2:19" x14ac:dyDescent="0.25">
      <c r="R36" s="1016"/>
      <c r="S36" s="19" t="s">
        <v>658</v>
      </c>
    </row>
    <row r="37" spans="2:19" x14ac:dyDescent="0.25">
      <c r="R37" s="1016"/>
      <c r="S37" s="19" t="s">
        <v>631</v>
      </c>
    </row>
    <row r="38" spans="2:19" ht="30" x14ac:dyDescent="0.25">
      <c r="R38" s="1016"/>
      <c r="S38" s="19" t="s">
        <v>827</v>
      </c>
    </row>
    <row r="39" spans="2:19" ht="30" x14ac:dyDescent="0.25">
      <c r="R39" s="1016"/>
      <c r="S39" s="19" t="s">
        <v>826</v>
      </c>
    </row>
    <row r="40" spans="2:19" x14ac:dyDescent="0.25">
      <c r="R40" s="1016"/>
      <c r="S40" s="19" t="s">
        <v>889</v>
      </c>
    </row>
    <row r="41" spans="2:19" ht="45" x14ac:dyDescent="0.25">
      <c r="R41" s="1016"/>
      <c r="S41" s="19" t="s">
        <v>902</v>
      </c>
    </row>
    <row r="42" spans="2:19" x14ac:dyDescent="0.25">
      <c r="R42" s="1016"/>
      <c r="S42" s="19" t="s">
        <v>893</v>
      </c>
    </row>
    <row r="43" spans="2:19" ht="45" x14ac:dyDescent="0.25">
      <c r="R43" s="1016"/>
      <c r="S43" s="19" t="s">
        <v>949</v>
      </c>
    </row>
    <row r="44" spans="2:19" ht="30" x14ac:dyDescent="0.25">
      <c r="R44" s="1016"/>
      <c r="S44" s="19" t="s">
        <v>959</v>
      </c>
    </row>
    <row r="45" spans="2:19" ht="30" x14ac:dyDescent="0.25">
      <c r="R45" s="1016"/>
      <c r="S45" s="19" t="s">
        <v>950</v>
      </c>
    </row>
    <row r="46" spans="2:19" x14ac:dyDescent="0.25">
      <c r="R46" s="1016"/>
      <c r="S46" s="19" t="s">
        <v>960</v>
      </c>
    </row>
    <row r="47" spans="2:19" ht="30" x14ac:dyDescent="0.25">
      <c r="B47" s="5"/>
      <c r="R47" s="1016"/>
      <c r="S47" s="19" t="s">
        <v>672</v>
      </c>
    </row>
    <row r="48" spans="2:19" ht="30" x14ac:dyDescent="0.25">
      <c r="R48" s="1008" t="s">
        <v>5</v>
      </c>
      <c r="S48" s="60" t="s">
        <v>340</v>
      </c>
    </row>
    <row r="49" spans="18:19" x14ac:dyDescent="0.25">
      <c r="R49" s="1008"/>
      <c r="S49" s="26" t="s">
        <v>341</v>
      </c>
    </row>
    <row r="50" spans="18:19" ht="30" x14ac:dyDescent="0.25">
      <c r="R50" s="1008"/>
      <c r="S50" s="26" t="s">
        <v>342</v>
      </c>
    </row>
    <row r="51" spans="18:19" ht="30" x14ac:dyDescent="0.25">
      <c r="R51" s="1008"/>
      <c r="S51" s="26" t="s">
        <v>343</v>
      </c>
    </row>
    <row r="52" spans="18:19" ht="45.75" thickBot="1" x14ac:dyDescent="0.3">
      <c r="R52" s="1009"/>
      <c r="S52" s="32" t="s">
        <v>344</v>
      </c>
    </row>
    <row r="53" spans="18:19" ht="30" x14ac:dyDescent="0.25">
      <c r="R53" s="1010" t="s">
        <v>349</v>
      </c>
      <c r="S53" s="25" t="s">
        <v>360</v>
      </c>
    </row>
    <row r="54" spans="18:19" ht="30" x14ac:dyDescent="0.25">
      <c r="R54" s="1008"/>
      <c r="S54" s="26" t="s">
        <v>437</v>
      </c>
    </row>
    <row r="55" spans="18:19" ht="45" x14ac:dyDescent="0.25">
      <c r="R55" s="1008"/>
      <c r="S55" s="26" t="s">
        <v>370</v>
      </c>
    </row>
    <row r="56" spans="18:19" ht="30" x14ac:dyDescent="0.25">
      <c r="R56" s="1008"/>
      <c r="S56" s="26" t="s">
        <v>438</v>
      </c>
    </row>
    <row r="57" spans="18:19" ht="30" x14ac:dyDescent="0.25">
      <c r="R57" s="1008"/>
      <c r="S57" s="26" t="s">
        <v>440</v>
      </c>
    </row>
    <row r="58" spans="18:19" ht="60" x14ac:dyDescent="0.25">
      <c r="R58" s="1008"/>
      <c r="S58" s="26" t="s">
        <v>441</v>
      </c>
    </row>
    <row r="59" spans="18:19" ht="45" x14ac:dyDescent="0.25">
      <c r="R59" s="1008"/>
      <c r="S59" s="26" t="s">
        <v>442</v>
      </c>
    </row>
    <row r="60" spans="18:19" ht="45" x14ac:dyDescent="0.25">
      <c r="R60" s="1008"/>
      <c r="S60" s="26" t="s">
        <v>445</v>
      </c>
    </row>
    <row r="61" spans="18:19" ht="30" x14ac:dyDescent="0.25">
      <c r="R61" s="1008"/>
      <c r="S61" s="26" t="s">
        <v>446</v>
      </c>
    </row>
    <row r="62" spans="18:19" ht="45" x14ac:dyDescent="0.25">
      <c r="R62" s="1008"/>
      <c r="S62" s="26" t="s">
        <v>453</v>
      </c>
    </row>
    <row r="63" spans="18:19" ht="45" x14ac:dyDescent="0.25">
      <c r="R63" s="1008"/>
      <c r="S63" s="27" t="s">
        <v>714</v>
      </c>
    </row>
    <row r="64" spans="18:19" x14ac:dyDescent="0.25">
      <c r="R64" s="1008"/>
      <c r="S64" s="27" t="s">
        <v>765</v>
      </c>
    </row>
    <row r="65" spans="18:19" ht="30" x14ac:dyDescent="0.25">
      <c r="R65" s="1008"/>
      <c r="S65" s="27" t="s">
        <v>838</v>
      </c>
    </row>
    <row r="66" spans="18:19" ht="60" x14ac:dyDescent="0.25">
      <c r="R66" s="1008"/>
      <c r="S66" s="59" t="s">
        <v>845</v>
      </c>
    </row>
    <row r="67" spans="18:19" ht="75" x14ac:dyDescent="0.25">
      <c r="R67" s="1008"/>
      <c r="S67" s="59" t="s">
        <v>844</v>
      </c>
    </row>
    <row r="68" spans="18:19" ht="45.75" thickBot="1" x14ac:dyDescent="0.3">
      <c r="R68" s="1008"/>
      <c r="S68" s="59" t="s">
        <v>839</v>
      </c>
    </row>
    <row r="69" spans="18:19" x14ac:dyDescent="0.25">
      <c r="R69" s="1005" t="s">
        <v>625</v>
      </c>
      <c r="S69" s="25" t="s">
        <v>673</v>
      </c>
    </row>
    <row r="70" spans="18:19" ht="45" x14ac:dyDescent="0.25">
      <c r="R70" s="1006"/>
      <c r="S70" s="26" t="s">
        <v>674</v>
      </c>
    </row>
    <row r="71" spans="18:19" x14ac:dyDescent="0.25">
      <c r="R71" s="1006"/>
      <c r="S71" s="26" t="s">
        <v>675</v>
      </c>
    </row>
    <row r="72" spans="18:19" ht="30" x14ac:dyDescent="0.25">
      <c r="R72" s="1006"/>
      <c r="S72" s="26" t="s">
        <v>622</v>
      </c>
    </row>
    <row r="73" spans="18:19" x14ac:dyDescent="0.25">
      <c r="R73" s="1006"/>
      <c r="S73" s="26" t="s">
        <v>623</v>
      </c>
    </row>
    <row r="74" spans="18:19" ht="30" x14ac:dyDescent="0.25">
      <c r="R74" s="1006"/>
      <c r="S74" s="26" t="s">
        <v>624</v>
      </c>
    </row>
    <row r="75" spans="18:19" ht="45" x14ac:dyDescent="0.25">
      <c r="R75" s="1006"/>
      <c r="S75" s="26" t="s">
        <v>676</v>
      </c>
    </row>
    <row r="76" spans="18:19" ht="15.75" thickBot="1" x14ac:dyDescent="0.3">
      <c r="R76" s="1007"/>
      <c r="S76" s="31"/>
    </row>
    <row r="77" spans="18:19" ht="30" x14ac:dyDescent="0.25">
      <c r="R77" s="1002" t="s">
        <v>3</v>
      </c>
      <c r="S77" s="157" t="s">
        <v>885</v>
      </c>
    </row>
    <row r="78" spans="18:19" ht="45" x14ac:dyDescent="0.25">
      <c r="R78" s="1003"/>
      <c r="S78" s="158" t="s">
        <v>847</v>
      </c>
    </row>
    <row r="79" spans="18:19" ht="30" x14ac:dyDescent="0.25">
      <c r="R79" s="1003"/>
      <c r="S79" s="158" t="s">
        <v>887</v>
      </c>
    </row>
    <row r="80" spans="18:19" ht="45.75" thickBot="1" x14ac:dyDescent="0.3">
      <c r="R80" s="1004"/>
      <c r="S80" s="158" t="s">
        <v>882</v>
      </c>
    </row>
    <row r="82" spans="21:21" x14ac:dyDescent="0.25">
      <c r="U82">
        <f>15/10</f>
        <v>1.5</v>
      </c>
    </row>
    <row r="83" spans="21:21" x14ac:dyDescent="0.25">
      <c r="U83">
        <f>1-U82</f>
        <v>-0.5</v>
      </c>
    </row>
  </sheetData>
  <mergeCells count="8">
    <mergeCell ref="R77:R80"/>
    <mergeCell ref="R69:R76"/>
    <mergeCell ref="R48:R52"/>
    <mergeCell ref="R53:R68"/>
    <mergeCell ref="A1:B1"/>
    <mergeCell ref="R6:R18"/>
    <mergeCell ref="R19:R26"/>
    <mergeCell ref="R27:R47"/>
  </mergeCells>
  <dataValidations count="1">
    <dataValidation type="list" allowBlank="1" showInputMessage="1" showErrorMessage="1" sqref="S44">
      <formula1>$S$3:$S$80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'C:\Users\norela.briceno\AppData\Local\Microsoft\Windows\INetCache\Content.Outlook\FBI6K8AZ\[Copia de Plan Accion ADRES Vigencia 2018 con Cuadro de Mando.xlsx]TAB. REF. PA'!#REF!</xm:f>
          </x14:formula1>
          <xm:sqref>S44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9c587aaf-f387-4510-84b9-c43d3d73768c">2018</ano>
  </documentManagement>
</p:properties>
</file>

<file path=customXml/itemProps1.xml><?xml version="1.0" encoding="utf-8"?>
<ds:datastoreItem xmlns:ds="http://schemas.openxmlformats.org/officeDocument/2006/customXml" ds:itemID="{3B420F5A-10A0-4249-B2CB-A1D18CB6DBF7}"/>
</file>

<file path=customXml/itemProps2.xml><?xml version="1.0" encoding="utf-8"?>
<ds:datastoreItem xmlns:ds="http://schemas.openxmlformats.org/officeDocument/2006/customXml" ds:itemID="{71066880-52DE-4002-820A-AE0C752F5D0D}"/>
</file>

<file path=customXml/itemProps3.xml><?xml version="1.0" encoding="utf-8"?>
<ds:datastoreItem xmlns:ds="http://schemas.openxmlformats.org/officeDocument/2006/customXml" ds:itemID="{4384A3DC-5CDF-4C7D-AA54-7A0B5FEAA6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Plan de Accion Final</vt:lpstr>
      <vt:lpstr>Hoja2</vt:lpstr>
      <vt:lpstr>Plan de Accion 2018</vt:lpstr>
      <vt:lpstr>Cuadro Mando Integral Seguimien</vt:lpstr>
      <vt:lpstr>Cuadro Mando Integral Detallado</vt:lpstr>
      <vt:lpstr>Cumplimiento perspectivas conso</vt:lpstr>
      <vt:lpstr>Cumplimiento de objetivos</vt:lpstr>
      <vt:lpstr>Cumplimi actividades relevantes</vt:lpstr>
      <vt:lpstr>Cumplimiento Dependencias</vt:lpstr>
      <vt:lpstr>Control de Cambios</vt:lpstr>
      <vt:lpstr>Actividades relevantes Detalle</vt:lpstr>
      <vt:lpstr>PLAN DE ADQUISIONES COMPILADO</vt:lpstr>
      <vt:lpstr>TAB. REF. PA</vt:lpstr>
      <vt:lpstr>Central_de_Costos</vt:lpstr>
      <vt:lpstr>'TAB. REF. PA'!CÓDIGO_AREA</vt:lpstr>
      <vt:lpstr>Dimensión_MIPG</vt:lpstr>
      <vt:lpstr>Estrategia_Sectorial</vt:lpstr>
      <vt:lpstr>Fuente_de_Recursos</vt:lpstr>
      <vt:lpstr>Indicador</vt:lpstr>
      <vt:lpstr>Indicador_SINERGIA</vt:lpstr>
      <vt:lpstr>Objetivo_Especifico_PND</vt:lpstr>
      <vt:lpstr>OBJETIVO_ESTRATEGICO</vt:lpstr>
      <vt:lpstr>Política_MIPG</vt:lpstr>
      <vt:lpstr>Procedimiento</vt:lpstr>
      <vt:lpstr>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TRIANA PARGA</dc:creator>
  <cp:lastModifiedBy>NORELA BRICEÑO BOHORQUEZ</cp:lastModifiedBy>
  <cp:lastPrinted>2018-05-18T20:57:50Z</cp:lastPrinted>
  <dcterms:created xsi:type="dcterms:W3CDTF">2017-11-02T20:07:37Z</dcterms:created>
  <dcterms:modified xsi:type="dcterms:W3CDTF">2018-06-27T23:54:59Z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ies>
</file>